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Z:\_Kryterium 1. NOWY KIERUNEK\Psychologia wniosek 2.0\"/>
    </mc:Choice>
  </mc:AlternateContent>
  <xr:revisionPtr revIDLastSave="0" documentId="13_ncr:1_{C5BE8D3A-EA3D-4008-B4EE-EFB2B4294589}" xr6:coauthVersionLast="47" xr6:coauthVersionMax="47" xr10:uidLastSave="{00000000-0000-0000-0000-000000000000}"/>
  <bookViews>
    <workbookView xWindow="-120" yWindow="-120" windowWidth="29040" windowHeight="15720" xr2:uid="{4492D1F5-6360-4375-89EE-53AA13BE1783}"/>
  </bookViews>
  <sheets>
    <sheet name="Psychologia" sheetId="1" r:id="rId1"/>
    <sheet name="Wskaźniki" sheetId="3" r:id="rId2"/>
    <sheet name="Efekty" sheetId="10" r:id="rId3"/>
    <sheet name="Matryca" sheetId="11" r:id="rId4"/>
    <sheet name="Arkusz3" sheetId="19" state="hidden" r:id="rId5"/>
    <sheet name="Matryca_PZ" sheetId="6" state="hidden" r:id="rId6"/>
    <sheet name="Matryca_fakultety" sheetId="17" r:id="rId7"/>
    <sheet name="Efekty uczenia się" sheetId="7" state="hidden" r:id="rId8"/>
    <sheet name="Arkusz1" sheetId="8" state="hidden" r:id="rId9"/>
    <sheet name="Słowniki" sheetId="5" r:id="rId10"/>
  </sheets>
  <definedNames>
    <definedName name="_xlnm._FilterDatabase" localSheetId="8" hidden="1">Arkusz1!$K$361:$S$388</definedName>
    <definedName name="_xlnm._FilterDatabase" localSheetId="2" hidden="1">Efekty!$A$2:$J$82</definedName>
    <definedName name="_xlnm._FilterDatabase" localSheetId="3" hidden="1">Matryca!$A$19:$CD$125</definedName>
    <definedName name="_xlnm._FilterDatabase" localSheetId="6" hidden="1">Matryca_fakultety!$A$19:$CC$49</definedName>
    <definedName name="_xlnm._FilterDatabase" localSheetId="5" hidden="1">Matryca_PZ!$A$19:$CH$125</definedName>
    <definedName name="_xlnm._FilterDatabase" localSheetId="0" hidden="1">Psychologia!$A$18:$CM$123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20" i="1" l="1"/>
  <c r="U20" i="1"/>
  <c r="A21" i="11" l="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1" i="11"/>
  <c r="Q110" i="1"/>
  <c r="Q111" i="1"/>
  <c r="Q112" i="1"/>
  <c r="Q113" i="1"/>
  <c r="AA55" i="1"/>
  <c r="Z55" i="1" s="1"/>
  <c r="Y55" i="1" s="1"/>
  <c r="AX29" i="1"/>
  <c r="AW29" i="1" s="1"/>
  <c r="AV29" i="1" s="1"/>
  <c r="B36" i="11"/>
  <c r="C36" i="11"/>
  <c r="D36" i="11"/>
  <c r="E36" i="11"/>
  <c r="F36" i="11"/>
  <c r="G36" i="11"/>
  <c r="H36" i="11"/>
  <c r="I36" i="11"/>
  <c r="K36" i="11"/>
  <c r="M36" i="11"/>
  <c r="O36" i="11"/>
  <c r="P36" i="11"/>
  <c r="Q36" i="11"/>
  <c r="R36" i="11"/>
  <c r="S36" i="11"/>
  <c r="AA36" i="1"/>
  <c r="Z36" i="1" s="1"/>
  <c r="Y36" i="1" s="1"/>
  <c r="BX36" i="1"/>
  <c r="BV36" i="1"/>
  <c r="BU36" i="1"/>
  <c r="BT36" i="1"/>
  <c r="BS36" i="1"/>
  <c r="AX36" i="1"/>
  <c r="AW36" i="1" s="1"/>
  <c r="AV36" i="1" s="1"/>
  <c r="Q36" i="1"/>
  <c r="N36" i="1"/>
  <c r="BW36" i="1" s="1"/>
  <c r="CG36" i="1" l="1"/>
  <c r="J36" i="11"/>
  <c r="N36" i="11"/>
  <c r="L36" i="11"/>
  <c r="CH36" i="1"/>
  <c r="M36" i="1"/>
  <c r="BQ36" i="1" s="1"/>
  <c r="BR36" i="1" s="1"/>
  <c r="O36" i="1"/>
  <c r="T36" i="1" s="1"/>
  <c r="P36" i="1"/>
  <c r="BY36" i="1"/>
  <c r="CE36" i="1" s="1"/>
  <c r="U36" i="1" l="1"/>
  <c r="CD36" i="1"/>
  <c r="S36" i="1"/>
  <c r="R36" i="1"/>
  <c r="CA36" i="1"/>
  <c r="BZ36" i="1"/>
  <c r="CC36" i="1"/>
  <c r="CB36" i="1"/>
  <c r="CI36" i="1" l="1"/>
  <c r="CF36" i="1"/>
  <c r="CJ36" i="1"/>
  <c r="S69" i="1" l="1"/>
  <c r="Q66" i="1"/>
  <c r="Q67" i="1"/>
  <c r="Q68" i="1"/>
  <c r="Q69" i="1"/>
  <c r="Q70" i="1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R47" i="17"/>
  <c r="AS47" i="17"/>
  <c r="AT47" i="17"/>
  <c r="AU47" i="17"/>
  <c r="AV47" i="17"/>
  <c r="AW47" i="17"/>
  <c r="AX47" i="17"/>
  <c r="AY47" i="17"/>
  <c r="AZ47" i="17"/>
  <c r="BA47" i="17"/>
  <c r="BB47" i="17"/>
  <c r="BC47" i="17"/>
  <c r="BD47" i="17"/>
  <c r="BE47" i="17"/>
  <c r="BF47" i="17"/>
  <c r="BG47" i="17"/>
  <c r="BH47" i="17"/>
  <c r="BI47" i="17"/>
  <c r="BJ47" i="17"/>
  <c r="BK47" i="17"/>
  <c r="BL47" i="17"/>
  <c r="BM47" i="17"/>
  <c r="BN47" i="17"/>
  <c r="BO47" i="17"/>
  <c r="BP47" i="17"/>
  <c r="T47" i="17"/>
  <c r="T46" i="17"/>
  <c r="T42" i="17"/>
  <c r="T34" i="17"/>
  <c r="T24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AI29" i="17"/>
  <c r="AJ29" i="17"/>
  <c r="AK29" i="17"/>
  <c r="AL29" i="17"/>
  <c r="AM29" i="17"/>
  <c r="AN29" i="17"/>
  <c r="AO29" i="17"/>
  <c r="AP29" i="17"/>
  <c r="AQ29" i="17"/>
  <c r="AR29" i="17"/>
  <c r="AS29" i="17"/>
  <c r="AT29" i="17"/>
  <c r="AU29" i="17"/>
  <c r="AV29" i="17"/>
  <c r="AW29" i="17"/>
  <c r="AX29" i="17"/>
  <c r="AY29" i="17"/>
  <c r="AZ29" i="17"/>
  <c r="BA29" i="17"/>
  <c r="BB29" i="17"/>
  <c r="BC29" i="17"/>
  <c r="BD29" i="17"/>
  <c r="BE29" i="17"/>
  <c r="BF29" i="17"/>
  <c r="BG29" i="17"/>
  <c r="BH29" i="17"/>
  <c r="BI29" i="17"/>
  <c r="BJ29" i="17"/>
  <c r="BK29" i="17"/>
  <c r="BL29" i="17"/>
  <c r="BM29" i="17"/>
  <c r="BN29" i="17"/>
  <c r="BO29" i="17"/>
  <c r="BP29" i="17"/>
  <c r="T29" i="17"/>
  <c r="B33" i="11" l="1"/>
  <c r="C33" i="11"/>
  <c r="D33" i="11"/>
  <c r="E33" i="11"/>
  <c r="F33" i="11"/>
  <c r="G33" i="11"/>
  <c r="H33" i="11"/>
  <c r="I33" i="11"/>
  <c r="K33" i="11"/>
  <c r="M33" i="11"/>
  <c r="O33" i="11"/>
  <c r="P33" i="11"/>
  <c r="Q33" i="11"/>
  <c r="R33" i="11"/>
  <c r="S33" i="11"/>
  <c r="B34" i="11"/>
  <c r="C34" i="11"/>
  <c r="D34" i="11"/>
  <c r="E34" i="11"/>
  <c r="F34" i="11"/>
  <c r="G34" i="11"/>
  <c r="H34" i="11"/>
  <c r="I34" i="11"/>
  <c r="K34" i="11"/>
  <c r="M34" i="11"/>
  <c r="O34" i="11"/>
  <c r="P34" i="11"/>
  <c r="Q34" i="11"/>
  <c r="CK33" i="1" s="1"/>
  <c r="R34" i="11"/>
  <c r="CL33" i="1" s="1"/>
  <c r="S34" i="11"/>
  <c r="CM33" i="1" s="1"/>
  <c r="B35" i="11"/>
  <c r="C35" i="11"/>
  <c r="D35" i="11"/>
  <c r="E35" i="11"/>
  <c r="F35" i="11"/>
  <c r="G35" i="11"/>
  <c r="H35" i="11"/>
  <c r="I35" i="11"/>
  <c r="K35" i="11"/>
  <c r="M35" i="11"/>
  <c r="O35" i="11"/>
  <c r="P35" i="11"/>
  <c r="Q35" i="11"/>
  <c r="CK35" i="1" s="1"/>
  <c r="R35" i="11"/>
  <c r="CL35" i="1" s="1"/>
  <c r="S35" i="11"/>
  <c r="CM35" i="1" s="1"/>
  <c r="B37" i="11"/>
  <c r="C37" i="11"/>
  <c r="D37" i="11"/>
  <c r="E37" i="11"/>
  <c r="F37" i="11"/>
  <c r="G37" i="11"/>
  <c r="H37" i="11"/>
  <c r="I37" i="11"/>
  <c r="K37" i="11"/>
  <c r="M37" i="11"/>
  <c r="O37" i="11"/>
  <c r="P37" i="11"/>
  <c r="Q37" i="11"/>
  <c r="CK36" i="1" s="1"/>
  <c r="R37" i="11"/>
  <c r="CL36" i="1" s="1"/>
  <c r="S37" i="11"/>
  <c r="CM36" i="1" s="1"/>
  <c r="B38" i="11"/>
  <c r="C38" i="11"/>
  <c r="D38" i="11"/>
  <c r="E38" i="11"/>
  <c r="F38" i="11"/>
  <c r="G38" i="11"/>
  <c r="H38" i="11"/>
  <c r="I38" i="11"/>
  <c r="K38" i="11"/>
  <c r="M38" i="11"/>
  <c r="O38" i="11"/>
  <c r="P38" i="11"/>
  <c r="Q38" i="11"/>
  <c r="R38" i="11"/>
  <c r="S38" i="11"/>
  <c r="B39" i="11"/>
  <c r="C39" i="11"/>
  <c r="D39" i="11"/>
  <c r="E39" i="11"/>
  <c r="F39" i="11"/>
  <c r="G39" i="11"/>
  <c r="H39" i="11"/>
  <c r="I39" i="11"/>
  <c r="K39" i="11"/>
  <c r="M39" i="11"/>
  <c r="O39" i="11"/>
  <c r="P39" i="11"/>
  <c r="Q39" i="11"/>
  <c r="R39" i="11"/>
  <c r="S39" i="11"/>
  <c r="B40" i="11"/>
  <c r="C40" i="11"/>
  <c r="D40" i="11"/>
  <c r="E40" i="11"/>
  <c r="F40" i="11"/>
  <c r="G40" i="11"/>
  <c r="H40" i="11"/>
  <c r="I40" i="11"/>
  <c r="K40" i="11"/>
  <c r="M40" i="11"/>
  <c r="O40" i="11"/>
  <c r="P40" i="11"/>
  <c r="Q40" i="11"/>
  <c r="R40" i="11"/>
  <c r="S40" i="11"/>
  <c r="B41" i="11"/>
  <c r="C41" i="11"/>
  <c r="D41" i="11"/>
  <c r="E41" i="11"/>
  <c r="F41" i="11"/>
  <c r="G41" i="11"/>
  <c r="H41" i="11"/>
  <c r="I41" i="11"/>
  <c r="K41" i="11"/>
  <c r="M41" i="11"/>
  <c r="O41" i="11"/>
  <c r="P41" i="11"/>
  <c r="Q41" i="11"/>
  <c r="R41" i="11"/>
  <c r="S41" i="11"/>
  <c r="BX33" i="1"/>
  <c r="BV33" i="1"/>
  <c r="BU33" i="1"/>
  <c r="BT33" i="1"/>
  <c r="BS33" i="1"/>
  <c r="AX33" i="1"/>
  <c r="AW33" i="1" s="1"/>
  <c r="AV33" i="1" s="1"/>
  <c r="AA33" i="1"/>
  <c r="Z33" i="1" s="1"/>
  <c r="Q33" i="1"/>
  <c r="N33" i="1"/>
  <c r="BW33" i="1" s="1"/>
  <c r="Q115" i="1"/>
  <c r="Q116" i="1"/>
  <c r="Q117" i="1"/>
  <c r="Q118" i="1"/>
  <c r="Q119" i="1"/>
  <c r="Q120" i="1"/>
  <c r="Q121" i="1"/>
  <c r="BP104" i="11"/>
  <c r="BO104" i="11"/>
  <c r="BN104" i="11"/>
  <c r="BM104" i="11"/>
  <c r="BL104" i="11"/>
  <c r="BK104" i="11"/>
  <c r="BJ104" i="11"/>
  <c r="BI104" i="11"/>
  <c r="BH104" i="11"/>
  <c r="BP80" i="11"/>
  <c r="BO80" i="11"/>
  <c r="BN80" i="11"/>
  <c r="BM80" i="11"/>
  <c r="BL80" i="11"/>
  <c r="BK80" i="11"/>
  <c r="BJ80" i="11"/>
  <c r="BI80" i="11"/>
  <c r="BH80" i="11"/>
  <c r="BP61" i="11"/>
  <c r="BO61" i="11"/>
  <c r="BN61" i="11"/>
  <c r="BM61" i="11"/>
  <c r="BL61" i="11"/>
  <c r="BK61" i="11"/>
  <c r="BJ61" i="11"/>
  <c r="BI61" i="11"/>
  <c r="BH61" i="11"/>
  <c r="BP42" i="11"/>
  <c r="BO42" i="11"/>
  <c r="BN42" i="11"/>
  <c r="BM42" i="11"/>
  <c r="BL42" i="11"/>
  <c r="BK42" i="11"/>
  <c r="BJ42" i="11"/>
  <c r="BI42" i="11"/>
  <c r="BH42" i="11"/>
  <c r="BG104" i="11"/>
  <c r="BF104" i="11"/>
  <c r="BE104" i="11"/>
  <c r="BD104" i="11"/>
  <c r="BC104" i="11"/>
  <c r="BB104" i="11"/>
  <c r="BA104" i="11"/>
  <c r="AZ104" i="11"/>
  <c r="AY104" i="11"/>
  <c r="AX104" i="11"/>
  <c r="AW104" i="11"/>
  <c r="AV104" i="11"/>
  <c r="AU104" i="11"/>
  <c r="AT104" i="11"/>
  <c r="AS104" i="11"/>
  <c r="AR104" i="11"/>
  <c r="AQ104" i="11"/>
  <c r="AP104" i="11"/>
  <c r="AO104" i="11"/>
  <c r="AN104" i="11"/>
  <c r="AM104" i="11"/>
  <c r="AL104" i="11"/>
  <c r="AK104" i="11"/>
  <c r="AJ104" i="11"/>
  <c r="AI104" i="11"/>
  <c r="AH104" i="11"/>
  <c r="AG104" i="11"/>
  <c r="AF104" i="11"/>
  <c r="BG80" i="11"/>
  <c r="BF80" i="11"/>
  <c r="BE80" i="11"/>
  <c r="BD80" i="11"/>
  <c r="BC80" i="11"/>
  <c r="BB80" i="11"/>
  <c r="BA80" i="11"/>
  <c r="AZ80" i="11"/>
  <c r="AY80" i="11"/>
  <c r="AX80" i="11"/>
  <c r="AW80" i="11"/>
  <c r="AV80" i="11"/>
  <c r="AU80" i="11"/>
  <c r="AT80" i="11"/>
  <c r="AS80" i="11"/>
  <c r="AR80" i="11"/>
  <c r="AQ80" i="11"/>
  <c r="AP80" i="11"/>
  <c r="AO80" i="11"/>
  <c r="AN80" i="11"/>
  <c r="AM80" i="11"/>
  <c r="AL80" i="11"/>
  <c r="AK80" i="11"/>
  <c r="AJ80" i="11"/>
  <c r="AI80" i="11"/>
  <c r="AH80" i="11"/>
  <c r="AG80" i="11"/>
  <c r="AF80" i="11"/>
  <c r="BG61" i="11"/>
  <c r="BF61" i="11"/>
  <c r="BE61" i="11"/>
  <c r="BD61" i="11"/>
  <c r="BC61" i="11"/>
  <c r="BB61" i="11"/>
  <c r="BA61" i="11"/>
  <c r="AZ61" i="11"/>
  <c r="AY61" i="11"/>
  <c r="AX61" i="11"/>
  <c r="AW61" i="11"/>
  <c r="AV61" i="11"/>
  <c r="AU61" i="11"/>
  <c r="AT61" i="11"/>
  <c r="AS61" i="11"/>
  <c r="AR61" i="11"/>
  <c r="AQ61" i="11"/>
  <c r="AP61" i="11"/>
  <c r="AO61" i="11"/>
  <c r="AN61" i="11"/>
  <c r="AM61" i="11"/>
  <c r="AL61" i="11"/>
  <c r="AK61" i="11"/>
  <c r="AJ61" i="11"/>
  <c r="AI61" i="11"/>
  <c r="AH61" i="11"/>
  <c r="AG61" i="11"/>
  <c r="AF61" i="11"/>
  <c r="BG42" i="11"/>
  <c r="BF42" i="11"/>
  <c r="BE42" i="11"/>
  <c r="BD42" i="11"/>
  <c r="BC42" i="11"/>
  <c r="BB42" i="11"/>
  <c r="BA42" i="11"/>
  <c r="AZ42" i="11"/>
  <c r="AY42" i="11"/>
  <c r="AX42" i="11"/>
  <c r="AW42" i="11"/>
  <c r="AV42" i="11"/>
  <c r="AU42" i="11"/>
  <c r="AT42" i="11"/>
  <c r="AS42" i="11"/>
  <c r="AR42" i="11"/>
  <c r="AQ42" i="11"/>
  <c r="AP42" i="11"/>
  <c r="AO42" i="11"/>
  <c r="AN42" i="11"/>
  <c r="AM42" i="11"/>
  <c r="AL42" i="11"/>
  <c r="AK42" i="11"/>
  <c r="AJ42" i="11"/>
  <c r="AI42" i="11"/>
  <c r="AH42" i="11"/>
  <c r="AG42" i="11"/>
  <c r="AF42" i="11"/>
  <c r="T104" i="11"/>
  <c r="U104" i="11"/>
  <c r="V104" i="11"/>
  <c r="W104" i="11"/>
  <c r="X104" i="11"/>
  <c r="Y104" i="11"/>
  <c r="Z104" i="11"/>
  <c r="AA104" i="11"/>
  <c r="AB104" i="11"/>
  <c r="AC104" i="11"/>
  <c r="AD104" i="11"/>
  <c r="AE104" i="11"/>
  <c r="AE80" i="11"/>
  <c r="AD80" i="11"/>
  <c r="AC80" i="11"/>
  <c r="AB80" i="11"/>
  <c r="AA80" i="11"/>
  <c r="Z80" i="11"/>
  <c r="Y80" i="11"/>
  <c r="X80" i="11"/>
  <c r="W80" i="11"/>
  <c r="V80" i="11"/>
  <c r="U80" i="11"/>
  <c r="T80" i="11"/>
  <c r="AE61" i="11"/>
  <c r="AD61" i="11"/>
  <c r="AC61" i="11"/>
  <c r="AB61" i="11"/>
  <c r="AA61" i="11"/>
  <c r="Z61" i="11"/>
  <c r="Y61" i="11"/>
  <c r="X61" i="11"/>
  <c r="W61" i="11"/>
  <c r="V61" i="11"/>
  <c r="U61" i="11"/>
  <c r="T61" i="11"/>
  <c r="AE42" i="11"/>
  <c r="AD42" i="11"/>
  <c r="AC42" i="11"/>
  <c r="AB42" i="11"/>
  <c r="AA42" i="11"/>
  <c r="Z42" i="11"/>
  <c r="Y42" i="11"/>
  <c r="X42" i="11"/>
  <c r="W42" i="11"/>
  <c r="V42" i="11"/>
  <c r="U42" i="11"/>
  <c r="T42" i="11"/>
  <c r="A10" i="19"/>
  <c r="E51" i="19"/>
  <c r="F51" i="19"/>
  <c r="G51" i="19"/>
  <c r="H51" i="19"/>
  <c r="I51" i="19"/>
  <c r="J51" i="19"/>
  <c r="K51" i="19"/>
  <c r="L51" i="19"/>
  <c r="M51" i="19"/>
  <c r="N51" i="19"/>
  <c r="O51" i="19"/>
  <c r="P51" i="19"/>
  <c r="Q51" i="19"/>
  <c r="R51" i="19"/>
  <c r="S51" i="19"/>
  <c r="T51" i="19"/>
  <c r="U51" i="19"/>
  <c r="V51" i="19"/>
  <c r="W51" i="19"/>
  <c r="X51" i="19"/>
  <c r="Y51" i="19"/>
  <c r="AA51" i="19"/>
  <c r="AB51" i="19"/>
  <c r="AC51" i="19"/>
  <c r="AD51" i="19"/>
  <c r="AE51" i="19"/>
  <c r="AF51" i="19"/>
  <c r="AG51" i="19"/>
  <c r="AH51" i="19"/>
  <c r="AI51" i="19"/>
  <c r="AJ51" i="19"/>
  <c r="AK51" i="19"/>
  <c r="AL51" i="19"/>
  <c r="AM51" i="19"/>
  <c r="AN51" i="19"/>
  <c r="AO51" i="19"/>
  <c r="AP51" i="19"/>
  <c r="AQ51" i="19"/>
  <c r="AR51" i="19"/>
  <c r="AT51" i="19"/>
  <c r="AU51" i="19"/>
  <c r="AV51" i="19"/>
  <c r="AW51" i="19"/>
  <c r="AX51" i="19"/>
  <c r="AY51" i="19"/>
  <c r="AZ51" i="19"/>
  <c r="BA51" i="19"/>
  <c r="BB51" i="19"/>
  <c r="BC51" i="19"/>
  <c r="BD51" i="19"/>
  <c r="BE51" i="19"/>
  <c r="BF51" i="19"/>
  <c r="BG51" i="19"/>
  <c r="BH51" i="19"/>
  <c r="BI51" i="19"/>
  <c r="BJ51" i="19"/>
  <c r="BK51" i="19"/>
  <c r="BM51" i="19"/>
  <c r="BN51" i="19"/>
  <c r="BO51" i="19"/>
  <c r="BP51" i="19"/>
  <c r="BQ51" i="19"/>
  <c r="BR51" i="19"/>
  <c r="BS51" i="19"/>
  <c r="BT51" i="19"/>
  <c r="BU51" i="19"/>
  <c r="BV51" i="19"/>
  <c r="BW51" i="19"/>
  <c r="BX51" i="19"/>
  <c r="BY51" i="19"/>
  <c r="BZ51" i="19"/>
  <c r="CA51" i="19"/>
  <c r="CB51" i="19"/>
  <c r="CC51" i="19"/>
  <c r="CD51" i="19"/>
  <c r="CE51" i="19"/>
  <c r="CF51" i="19"/>
  <c r="CG51" i="19"/>
  <c r="CH51" i="19"/>
  <c r="CI51" i="19"/>
  <c r="CK51" i="19"/>
  <c r="CL51" i="19"/>
  <c r="CM51" i="19"/>
  <c r="CN51" i="19"/>
  <c r="CO51" i="19"/>
  <c r="CP51" i="19"/>
  <c r="CQ51" i="19"/>
  <c r="CR51" i="19"/>
  <c r="CS51" i="19"/>
  <c r="CT51" i="19"/>
  <c r="CU51" i="19"/>
  <c r="CV51" i="19"/>
  <c r="CW51" i="19"/>
  <c r="CX51" i="19"/>
  <c r="CY51" i="19"/>
  <c r="CZ51" i="19"/>
  <c r="DA51" i="19"/>
  <c r="D51" i="19"/>
  <c r="CJ50" i="19"/>
  <c r="BL50" i="19"/>
  <c r="AS50" i="19"/>
  <c r="Z50" i="19"/>
  <c r="A50" i="19"/>
  <c r="A3" i="19"/>
  <c r="A4" i="19"/>
  <c r="A5" i="19"/>
  <c r="A6" i="19"/>
  <c r="A7" i="19"/>
  <c r="A8" i="19"/>
  <c r="A9" i="19"/>
  <c r="A11" i="19"/>
  <c r="A12" i="19"/>
  <c r="A13" i="19"/>
  <c r="A14" i="19"/>
  <c r="A15" i="19"/>
  <c r="A16" i="19"/>
  <c r="A17" i="19"/>
  <c r="A18" i="19"/>
  <c r="A19" i="19"/>
  <c r="A20" i="19"/>
  <c r="A21" i="19"/>
  <c r="A22" i="19"/>
  <c r="A23" i="19"/>
  <c r="A24" i="19"/>
  <c r="A25" i="19"/>
  <c r="A26" i="19"/>
  <c r="A27" i="19"/>
  <c r="A28" i="19"/>
  <c r="A29" i="19"/>
  <c r="A30" i="19"/>
  <c r="A31" i="19"/>
  <c r="A32" i="19"/>
  <c r="A33" i="19"/>
  <c r="A34" i="19"/>
  <c r="A35" i="19"/>
  <c r="A36" i="19"/>
  <c r="A37" i="19"/>
  <c r="A38" i="19"/>
  <c r="A39" i="19"/>
  <c r="A40" i="19"/>
  <c r="A41" i="19"/>
  <c r="A42" i="19"/>
  <c r="A43" i="19"/>
  <c r="A44" i="19"/>
  <c r="A45" i="19"/>
  <c r="A46" i="19"/>
  <c r="A47" i="19"/>
  <c r="A48" i="19"/>
  <c r="A49" i="19"/>
  <c r="A2" i="19"/>
  <c r="CJ49" i="19"/>
  <c r="BL49" i="19"/>
  <c r="AS49" i="19"/>
  <c r="Z49" i="19"/>
  <c r="CJ48" i="19"/>
  <c r="BL48" i="19"/>
  <c r="AS48" i="19"/>
  <c r="Z48" i="19"/>
  <c r="CJ47" i="19"/>
  <c r="BL47" i="19"/>
  <c r="AS47" i="19"/>
  <c r="Z47" i="19"/>
  <c r="CJ46" i="19"/>
  <c r="BL46" i="19"/>
  <c r="AS46" i="19"/>
  <c r="Z46" i="19"/>
  <c r="CJ45" i="19"/>
  <c r="BL45" i="19"/>
  <c r="AS45" i="19"/>
  <c r="Z45" i="19"/>
  <c r="CJ44" i="19"/>
  <c r="BL44" i="19"/>
  <c r="AS44" i="19"/>
  <c r="Z44" i="19"/>
  <c r="CJ43" i="19"/>
  <c r="BL43" i="19"/>
  <c r="AS43" i="19"/>
  <c r="Z43" i="19"/>
  <c r="CJ42" i="19"/>
  <c r="BL42" i="19"/>
  <c r="AS42" i="19"/>
  <c r="Z42" i="19"/>
  <c r="CJ41" i="19"/>
  <c r="BL41" i="19"/>
  <c r="AS41" i="19"/>
  <c r="Z41" i="19"/>
  <c r="CJ40" i="19"/>
  <c r="BL40" i="19"/>
  <c r="AS40" i="19"/>
  <c r="Z40" i="19"/>
  <c r="CJ39" i="19"/>
  <c r="BL39" i="19"/>
  <c r="AS39" i="19"/>
  <c r="Z39" i="19"/>
  <c r="CJ38" i="19"/>
  <c r="BL38" i="19"/>
  <c r="AS38" i="19"/>
  <c r="Z38" i="19"/>
  <c r="CJ37" i="19"/>
  <c r="BL37" i="19"/>
  <c r="AS37" i="19"/>
  <c r="Z37" i="19"/>
  <c r="CJ36" i="19"/>
  <c r="BL36" i="19"/>
  <c r="AS36" i="19"/>
  <c r="Z36" i="19"/>
  <c r="CJ35" i="19"/>
  <c r="BL35" i="19"/>
  <c r="AS35" i="19"/>
  <c r="Z35" i="19"/>
  <c r="CJ34" i="19"/>
  <c r="BL34" i="19"/>
  <c r="AS34" i="19"/>
  <c r="Z34" i="19"/>
  <c r="CJ33" i="19"/>
  <c r="BL33" i="19"/>
  <c r="AS33" i="19"/>
  <c r="Z33" i="19"/>
  <c r="CJ32" i="19"/>
  <c r="BL32" i="19"/>
  <c r="AS32" i="19"/>
  <c r="Z32" i="19"/>
  <c r="CJ31" i="19"/>
  <c r="BL31" i="19"/>
  <c r="AS31" i="19"/>
  <c r="Z31" i="19"/>
  <c r="CJ30" i="19"/>
  <c r="BL30" i="19"/>
  <c r="AS30" i="19"/>
  <c r="Z30" i="19"/>
  <c r="CJ29" i="19"/>
  <c r="BL29" i="19"/>
  <c r="AS29" i="19"/>
  <c r="Z29" i="19"/>
  <c r="CJ28" i="19"/>
  <c r="BL28" i="19"/>
  <c r="AS28" i="19"/>
  <c r="Z28" i="19"/>
  <c r="CJ27" i="19"/>
  <c r="BL27" i="19"/>
  <c r="AS27" i="19"/>
  <c r="Z27" i="19"/>
  <c r="CJ26" i="19"/>
  <c r="BL26" i="19"/>
  <c r="AS26" i="19"/>
  <c r="Z26" i="19"/>
  <c r="CJ25" i="19"/>
  <c r="BL25" i="19"/>
  <c r="AS25" i="19"/>
  <c r="Z25" i="19"/>
  <c r="CJ24" i="19"/>
  <c r="BL24" i="19"/>
  <c r="AS24" i="19"/>
  <c r="Z24" i="19"/>
  <c r="CJ23" i="19"/>
  <c r="BL23" i="19"/>
  <c r="AS23" i="19"/>
  <c r="Z23" i="19"/>
  <c r="CJ22" i="19"/>
  <c r="BL22" i="19"/>
  <c r="AS22" i="19"/>
  <c r="Z22" i="19"/>
  <c r="CJ21" i="19"/>
  <c r="BL21" i="19"/>
  <c r="AS21" i="19"/>
  <c r="Z21" i="19"/>
  <c r="CJ20" i="19"/>
  <c r="BL20" i="19"/>
  <c r="AS20" i="19"/>
  <c r="Z20" i="19"/>
  <c r="CJ19" i="19"/>
  <c r="BL19" i="19"/>
  <c r="AS19" i="19"/>
  <c r="Z19" i="19"/>
  <c r="CJ18" i="19"/>
  <c r="BL18" i="19"/>
  <c r="AS18" i="19"/>
  <c r="Z18" i="19"/>
  <c r="CJ17" i="19"/>
  <c r="BL17" i="19"/>
  <c r="AS17" i="19"/>
  <c r="Z17" i="19"/>
  <c r="CJ16" i="19"/>
  <c r="BL16" i="19"/>
  <c r="AS16" i="19"/>
  <c r="Z16" i="19"/>
  <c r="CJ15" i="19"/>
  <c r="BL15" i="19"/>
  <c r="AS15" i="19"/>
  <c r="Z15" i="19"/>
  <c r="CJ14" i="19"/>
  <c r="BL14" i="19"/>
  <c r="AS14" i="19"/>
  <c r="Z14" i="19"/>
  <c r="CJ13" i="19"/>
  <c r="BL13" i="19"/>
  <c r="AS13" i="19"/>
  <c r="Z13" i="19"/>
  <c r="CJ12" i="19"/>
  <c r="BL12" i="19"/>
  <c r="AS12" i="19"/>
  <c r="Z12" i="19"/>
  <c r="CJ11" i="19"/>
  <c r="BL11" i="19"/>
  <c r="AS11" i="19"/>
  <c r="Z11" i="19"/>
  <c r="CJ10" i="19"/>
  <c r="BL10" i="19"/>
  <c r="AS10" i="19"/>
  <c r="Z10" i="19"/>
  <c r="CJ9" i="19"/>
  <c r="BL9" i="19"/>
  <c r="AS9" i="19"/>
  <c r="Z9" i="19"/>
  <c r="CJ8" i="19"/>
  <c r="BL8" i="19"/>
  <c r="AS8" i="19"/>
  <c r="Z8" i="19"/>
  <c r="CJ7" i="19"/>
  <c r="BL7" i="19"/>
  <c r="AS7" i="19"/>
  <c r="Z7" i="19"/>
  <c r="CJ6" i="19"/>
  <c r="BL6" i="19"/>
  <c r="AS6" i="19"/>
  <c r="Z6" i="19"/>
  <c r="CJ5" i="19"/>
  <c r="BL5" i="19"/>
  <c r="AS5" i="19"/>
  <c r="Z5" i="19"/>
  <c r="CJ4" i="19"/>
  <c r="BL4" i="19"/>
  <c r="AS4" i="19"/>
  <c r="Z4" i="19"/>
  <c r="CJ3" i="19"/>
  <c r="BL3" i="19"/>
  <c r="AS3" i="19"/>
  <c r="Z3" i="19"/>
  <c r="CJ2" i="19"/>
  <c r="BL2" i="19"/>
  <c r="AS2" i="19"/>
  <c r="Z2" i="19"/>
  <c r="M45" i="17"/>
  <c r="M44" i="17"/>
  <c r="M43" i="17"/>
  <c r="P43" i="17"/>
  <c r="P41" i="17"/>
  <c r="M41" i="17"/>
  <c r="M40" i="17"/>
  <c r="P40" i="17"/>
  <c r="M39" i="17"/>
  <c r="M38" i="17"/>
  <c r="P39" i="17"/>
  <c r="P38" i="17"/>
  <c r="P37" i="17"/>
  <c r="P36" i="17"/>
  <c r="P35" i="17"/>
  <c r="M37" i="17"/>
  <c r="M36" i="17"/>
  <c r="M35" i="17"/>
  <c r="P33" i="17"/>
  <c r="M33" i="17"/>
  <c r="M32" i="17"/>
  <c r="P32" i="17"/>
  <c r="P31" i="17"/>
  <c r="P30" i="17"/>
  <c r="M31" i="17"/>
  <c r="M30" i="17"/>
  <c r="P28" i="17"/>
  <c r="M28" i="17"/>
  <c r="M27" i="17"/>
  <c r="P27" i="17"/>
  <c r="M26" i="17"/>
  <c r="P26" i="17"/>
  <c r="M25" i="17"/>
  <c r="P25" i="17"/>
  <c r="S26" i="17"/>
  <c r="R26" i="17"/>
  <c r="Q26" i="17"/>
  <c r="S25" i="17"/>
  <c r="R25" i="17"/>
  <c r="Q25" i="17"/>
  <c r="B51" i="11"/>
  <c r="C51" i="11"/>
  <c r="D51" i="11"/>
  <c r="E51" i="11"/>
  <c r="F51" i="11"/>
  <c r="G51" i="11"/>
  <c r="H51" i="11"/>
  <c r="I51" i="11"/>
  <c r="K51" i="11"/>
  <c r="M51" i="11"/>
  <c r="O51" i="11"/>
  <c r="P51" i="11"/>
  <c r="Q51" i="11"/>
  <c r="CK51" i="1" s="1"/>
  <c r="R51" i="11"/>
  <c r="CL51" i="1" s="1"/>
  <c r="S51" i="11"/>
  <c r="CM51" i="1" s="1"/>
  <c r="A51" i="11"/>
  <c r="BX51" i="1"/>
  <c r="BV51" i="1"/>
  <c r="BU51" i="1"/>
  <c r="BT51" i="1"/>
  <c r="BS51" i="1"/>
  <c r="AX51" i="1"/>
  <c r="AW51" i="1" s="1"/>
  <c r="AA51" i="1"/>
  <c r="Z51" i="1" s="1"/>
  <c r="Y51" i="1" s="1"/>
  <c r="Q51" i="1"/>
  <c r="O26" i="17" s="1"/>
  <c r="N51" i="1"/>
  <c r="BW51" i="1" s="1"/>
  <c r="P23" i="17"/>
  <c r="M23" i="17"/>
  <c r="M22" i="17"/>
  <c r="P22" i="17"/>
  <c r="S21" i="17"/>
  <c r="R21" i="17"/>
  <c r="Q21" i="17"/>
  <c r="M21" i="17"/>
  <c r="M20" i="17"/>
  <c r="M31" i="11"/>
  <c r="P21" i="17"/>
  <c r="P20" i="17"/>
  <c r="AX25" i="1"/>
  <c r="AW25" i="1" s="1"/>
  <c r="AV25" i="1" s="1"/>
  <c r="CM37" i="1" l="1"/>
  <c r="CL37" i="1"/>
  <c r="CK37" i="1"/>
  <c r="L33" i="11"/>
  <c r="N33" i="11"/>
  <c r="P33" i="1"/>
  <c r="O33" i="1"/>
  <c r="CH33" i="1"/>
  <c r="Y33" i="1"/>
  <c r="CG33" i="1"/>
  <c r="BY33" i="1"/>
  <c r="CD33" i="1" s="1"/>
  <c r="K26" i="17"/>
  <c r="N25" i="17"/>
  <c r="O25" i="17"/>
  <c r="N26" i="17"/>
  <c r="N51" i="11"/>
  <c r="L51" i="11"/>
  <c r="K25" i="17"/>
  <c r="CJ51" i="19"/>
  <c r="BL51" i="19"/>
  <c r="AS51" i="19"/>
  <c r="Z51" i="19"/>
  <c r="A51" i="19"/>
  <c r="P51" i="1"/>
  <c r="CH51" i="1"/>
  <c r="AV51" i="1"/>
  <c r="M51" i="1" s="1"/>
  <c r="O51" i="1"/>
  <c r="R51" i="1" s="1"/>
  <c r="CG51" i="1"/>
  <c r="BY51" i="1"/>
  <c r="CE51" i="1" s="1"/>
  <c r="S103" i="11"/>
  <c r="CM103" i="1" s="1"/>
  <c r="R103" i="11"/>
  <c r="CL103" i="1" s="1"/>
  <c r="Q103" i="11"/>
  <c r="CK103" i="1" s="1"/>
  <c r="P103" i="11"/>
  <c r="O103" i="11"/>
  <c r="M103" i="11"/>
  <c r="K103" i="11"/>
  <c r="I103" i="11"/>
  <c r="H103" i="11"/>
  <c r="G103" i="11"/>
  <c r="F103" i="11"/>
  <c r="E103" i="11"/>
  <c r="D103" i="11"/>
  <c r="C103" i="11"/>
  <c r="B103" i="11"/>
  <c r="A103" i="11"/>
  <c r="S102" i="11"/>
  <c r="CM102" i="1" s="1"/>
  <c r="R102" i="11"/>
  <c r="CL102" i="1" s="1"/>
  <c r="Q102" i="11"/>
  <c r="CK102" i="1" s="1"/>
  <c r="P102" i="11"/>
  <c r="O102" i="11"/>
  <c r="M102" i="11"/>
  <c r="K102" i="11"/>
  <c r="I102" i="11"/>
  <c r="H102" i="11"/>
  <c r="G102" i="11"/>
  <c r="F102" i="11"/>
  <c r="E102" i="11"/>
  <c r="D102" i="11"/>
  <c r="C102" i="11"/>
  <c r="B102" i="11"/>
  <c r="A102" i="11"/>
  <c r="S101" i="11"/>
  <c r="CM101" i="1" s="1"/>
  <c r="R101" i="11"/>
  <c r="CL101" i="1" s="1"/>
  <c r="Q101" i="11"/>
  <c r="CK101" i="1" s="1"/>
  <c r="P101" i="11"/>
  <c r="O101" i="11"/>
  <c r="M101" i="11"/>
  <c r="K101" i="11"/>
  <c r="I101" i="11"/>
  <c r="H101" i="11"/>
  <c r="G101" i="11"/>
  <c r="F101" i="11"/>
  <c r="E101" i="11"/>
  <c r="D101" i="11"/>
  <c r="C101" i="11"/>
  <c r="B101" i="11"/>
  <c r="A101" i="11"/>
  <c r="S100" i="11"/>
  <c r="CM100" i="1" s="1"/>
  <c r="R100" i="11"/>
  <c r="CL100" i="1" s="1"/>
  <c r="Q100" i="11"/>
  <c r="CK100" i="1" s="1"/>
  <c r="P100" i="11"/>
  <c r="O100" i="11"/>
  <c r="M100" i="11"/>
  <c r="K100" i="11"/>
  <c r="I100" i="11"/>
  <c r="H100" i="11"/>
  <c r="G100" i="11"/>
  <c r="F100" i="11"/>
  <c r="E100" i="11"/>
  <c r="D100" i="11"/>
  <c r="C100" i="11"/>
  <c r="B100" i="11"/>
  <c r="A100" i="11"/>
  <c r="S99" i="11"/>
  <c r="CM99" i="1" s="1"/>
  <c r="R99" i="11"/>
  <c r="CL99" i="1" s="1"/>
  <c r="Q99" i="11"/>
  <c r="CK99" i="1" s="1"/>
  <c r="P99" i="11"/>
  <c r="O99" i="11"/>
  <c r="M99" i="11"/>
  <c r="K99" i="11"/>
  <c r="I99" i="11"/>
  <c r="H99" i="11"/>
  <c r="G99" i="11"/>
  <c r="F99" i="11"/>
  <c r="E99" i="11"/>
  <c r="D99" i="11"/>
  <c r="C99" i="11"/>
  <c r="B99" i="11"/>
  <c r="A99" i="11"/>
  <c r="S98" i="11"/>
  <c r="CM98" i="1" s="1"/>
  <c r="R98" i="11"/>
  <c r="CL98" i="1" s="1"/>
  <c r="Q98" i="11"/>
  <c r="CK98" i="1" s="1"/>
  <c r="P98" i="11"/>
  <c r="O98" i="11"/>
  <c r="M98" i="11"/>
  <c r="K98" i="11"/>
  <c r="I98" i="11"/>
  <c r="H98" i="11"/>
  <c r="G98" i="11"/>
  <c r="F98" i="11"/>
  <c r="E98" i="11"/>
  <c r="D98" i="11"/>
  <c r="C98" i="11"/>
  <c r="B98" i="11"/>
  <c r="A98" i="11"/>
  <c r="S97" i="11"/>
  <c r="CM97" i="1" s="1"/>
  <c r="R97" i="11"/>
  <c r="CL97" i="1" s="1"/>
  <c r="Q97" i="11"/>
  <c r="CK97" i="1" s="1"/>
  <c r="P97" i="11"/>
  <c r="O97" i="11"/>
  <c r="M97" i="11"/>
  <c r="K97" i="11"/>
  <c r="I97" i="11"/>
  <c r="H97" i="11"/>
  <c r="G97" i="11"/>
  <c r="F97" i="11"/>
  <c r="E97" i="11"/>
  <c r="D97" i="11"/>
  <c r="C97" i="11"/>
  <c r="B97" i="11"/>
  <c r="A97" i="11"/>
  <c r="S96" i="11"/>
  <c r="CM96" i="1" s="1"/>
  <c r="R96" i="11"/>
  <c r="CL96" i="1" s="1"/>
  <c r="Q96" i="11"/>
  <c r="CK96" i="1" s="1"/>
  <c r="P96" i="11"/>
  <c r="O96" i="11"/>
  <c r="M96" i="11"/>
  <c r="K96" i="11"/>
  <c r="I96" i="11"/>
  <c r="H96" i="11"/>
  <c r="G96" i="11"/>
  <c r="F96" i="11"/>
  <c r="E96" i="11"/>
  <c r="D96" i="11"/>
  <c r="C96" i="11"/>
  <c r="B96" i="11"/>
  <c r="A96" i="11"/>
  <c r="S95" i="11"/>
  <c r="CM95" i="1" s="1"/>
  <c r="R95" i="11"/>
  <c r="CL95" i="1" s="1"/>
  <c r="Q95" i="11"/>
  <c r="CK95" i="1" s="1"/>
  <c r="P95" i="11"/>
  <c r="O95" i="11"/>
  <c r="M95" i="11"/>
  <c r="K95" i="11"/>
  <c r="I95" i="11"/>
  <c r="H95" i="11"/>
  <c r="G95" i="11"/>
  <c r="F95" i="11"/>
  <c r="E95" i="11"/>
  <c r="D95" i="11"/>
  <c r="C95" i="11"/>
  <c r="B95" i="11"/>
  <c r="A95" i="11"/>
  <c r="S94" i="11"/>
  <c r="CM94" i="1" s="1"/>
  <c r="R94" i="11"/>
  <c r="CL94" i="1" s="1"/>
  <c r="Q94" i="11"/>
  <c r="CK94" i="1" s="1"/>
  <c r="P94" i="11"/>
  <c r="O94" i="11"/>
  <c r="M94" i="11"/>
  <c r="K94" i="11"/>
  <c r="I94" i="11"/>
  <c r="H94" i="11"/>
  <c r="G94" i="11"/>
  <c r="F94" i="11"/>
  <c r="E94" i="11"/>
  <c r="D94" i="11"/>
  <c r="C94" i="11"/>
  <c r="B94" i="11"/>
  <c r="A94" i="11"/>
  <c r="S93" i="11"/>
  <c r="CM93" i="1" s="1"/>
  <c r="R93" i="11"/>
  <c r="CL93" i="1" s="1"/>
  <c r="Q93" i="11"/>
  <c r="CK93" i="1" s="1"/>
  <c r="P93" i="11"/>
  <c r="O93" i="11"/>
  <c r="M93" i="11"/>
  <c r="K93" i="11"/>
  <c r="I93" i="11"/>
  <c r="H93" i="11"/>
  <c r="G93" i="11"/>
  <c r="F93" i="11"/>
  <c r="E93" i="11"/>
  <c r="D93" i="11"/>
  <c r="C93" i="11"/>
  <c r="B93" i="11"/>
  <c r="A93" i="11"/>
  <c r="S92" i="11"/>
  <c r="CM92" i="1" s="1"/>
  <c r="R92" i="11"/>
  <c r="CL92" i="1" s="1"/>
  <c r="Q92" i="11"/>
  <c r="CK92" i="1" s="1"/>
  <c r="P92" i="11"/>
  <c r="O92" i="11"/>
  <c r="M92" i="11"/>
  <c r="K92" i="11"/>
  <c r="I92" i="11"/>
  <c r="H92" i="11"/>
  <c r="G92" i="11"/>
  <c r="F92" i="11"/>
  <c r="E92" i="11"/>
  <c r="D92" i="11"/>
  <c r="C92" i="11"/>
  <c r="B92" i="11"/>
  <c r="A92" i="11"/>
  <c r="S91" i="11"/>
  <c r="CM91" i="1" s="1"/>
  <c r="R91" i="11"/>
  <c r="CL91" i="1" s="1"/>
  <c r="Q91" i="11"/>
  <c r="CK91" i="1" s="1"/>
  <c r="P91" i="11"/>
  <c r="O91" i="11"/>
  <c r="M91" i="11"/>
  <c r="K91" i="11"/>
  <c r="I91" i="11"/>
  <c r="H91" i="11"/>
  <c r="G91" i="11"/>
  <c r="F91" i="11"/>
  <c r="E91" i="11"/>
  <c r="D91" i="11"/>
  <c r="C91" i="11"/>
  <c r="B91" i="11"/>
  <c r="A91" i="11"/>
  <c r="S90" i="11"/>
  <c r="CM90" i="1" s="1"/>
  <c r="R90" i="11"/>
  <c r="CL90" i="1" s="1"/>
  <c r="Q90" i="11"/>
  <c r="CK90" i="1" s="1"/>
  <c r="P90" i="11"/>
  <c r="O90" i="11"/>
  <c r="M90" i="11"/>
  <c r="K90" i="11"/>
  <c r="I90" i="11"/>
  <c r="H90" i="11"/>
  <c r="G90" i="11"/>
  <c r="F90" i="11"/>
  <c r="E90" i="11"/>
  <c r="D90" i="11"/>
  <c r="C90" i="11"/>
  <c r="B90" i="11"/>
  <c r="A90" i="11"/>
  <c r="S89" i="11"/>
  <c r="CM89" i="1" s="1"/>
  <c r="R89" i="11"/>
  <c r="CL89" i="1" s="1"/>
  <c r="Q89" i="11"/>
  <c r="CK89" i="1" s="1"/>
  <c r="P89" i="11"/>
  <c r="O89" i="11"/>
  <c r="M89" i="11"/>
  <c r="K89" i="11"/>
  <c r="I89" i="11"/>
  <c r="H89" i="11"/>
  <c r="G89" i="11"/>
  <c r="F89" i="11"/>
  <c r="E89" i="11"/>
  <c r="D89" i="11"/>
  <c r="C89" i="11"/>
  <c r="B89" i="11"/>
  <c r="A89" i="11"/>
  <c r="S88" i="11"/>
  <c r="CM88" i="1" s="1"/>
  <c r="R88" i="11"/>
  <c r="CL88" i="1" s="1"/>
  <c r="Q88" i="11"/>
  <c r="CK88" i="1" s="1"/>
  <c r="P88" i="11"/>
  <c r="O88" i="11"/>
  <c r="M88" i="11"/>
  <c r="K88" i="11"/>
  <c r="I88" i="11"/>
  <c r="H88" i="11"/>
  <c r="G88" i="11"/>
  <c r="F88" i="11"/>
  <c r="E88" i="11"/>
  <c r="D88" i="11"/>
  <c r="C88" i="11"/>
  <c r="B88" i="11"/>
  <c r="A88" i="11"/>
  <c r="S87" i="11"/>
  <c r="CM87" i="1" s="1"/>
  <c r="R87" i="11"/>
  <c r="CL87" i="1" s="1"/>
  <c r="Q87" i="11"/>
  <c r="CK87" i="1" s="1"/>
  <c r="P87" i="11"/>
  <c r="O87" i="11"/>
  <c r="M87" i="11"/>
  <c r="K87" i="11"/>
  <c r="I87" i="11"/>
  <c r="H87" i="11"/>
  <c r="G87" i="11"/>
  <c r="F87" i="11"/>
  <c r="E87" i="11"/>
  <c r="D87" i="11"/>
  <c r="C87" i="11"/>
  <c r="B87" i="11"/>
  <c r="A87" i="11"/>
  <c r="S86" i="11"/>
  <c r="CM86" i="1" s="1"/>
  <c r="R86" i="11"/>
  <c r="CL86" i="1" s="1"/>
  <c r="Q86" i="11"/>
  <c r="CK86" i="1" s="1"/>
  <c r="P86" i="11"/>
  <c r="O86" i="11"/>
  <c r="M86" i="11"/>
  <c r="K86" i="11"/>
  <c r="I86" i="11"/>
  <c r="H86" i="11"/>
  <c r="G86" i="11"/>
  <c r="F86" i="11"/>
  <c r="E86" i="11"/>
  <c r="D86" i="11"/>
  <c r="C86" i="11"/>
  <c r="B86" i="11"/>
  <c r="A86" i="11"/>
  <c r="S85" i="11"/>
  <c r="CM85" i="1" s="1"/>
  <c r="R85" i="11"/>
  <c r="CL85" i="1" s="1"/>
  <c r="Q85" i="11"/>
  <c r="CK85" i="1" s="1"/>
  <c r="P85" i="11"/>
  <c r="O85" i="11"/>
  <c r="M85" i="11"/>
  <c r="K85" i="11"/>
  <c r="I85" i="11"/>
  <c r="H85" i="11"/>
  <c r="G85" i="11"/>
  <c r="F85" i="11"/>
  <c r="E85" i="11"/>
  <c r="D85" i="11"/>
  <c r="C85" i="11"/>
  <c r="B85" i="11"/>
  <c r="A85" i="11"/>
  <c r="S84" i="11"/>
  <c r="CM84" i="1" s="1"/>
  <c r="R84" i="11"/>
  <c r="CL84" i="1" s="1"/>
  <c r="Q84" i="11"/>
  <c r="CK84" i="1" s="1"/>
  <c r="P84" i="11"/>
  <c r="O84" i="11"/>
  <c r="M84" i="11"/>
  <c r="K84" i="11"/>
  <c r="I84" i="11"/>
  <c r="H84" i="11"/>
  <c r="G84" i="11"/>
  <c r="F84" i="11"/>
  <c r="E84" i="11"/>
  <c r="D84" i="11"/>
  <c r="C84" i="11"/>
  <c r="B84" i="11"/>
  <c r="A84" i="11"/>
  <c r="S83" i="11"/>
  <c r="CM83" i="1" s="1"/>
  <c r="R83" i="11"/>
  <c r="CL83" i="1" s="1"/>
  <c r="Q83" i="11"/>
  <c r="CK83" i="1" s="1"/>
  <c r="P83" i="11"/>
  <c r="O83" i="11"/>
  <c r="M83" i="11"/>
  <c r="K83" i="11"/>
  <c r="I83" i="11"/>
  <c r="H83" i="11"/>
  <c r="G83" i="11"/>
  <c r="F83" i="11"/>
  <c r="E83" i="11"/>
  <c r="D83" i="11"/>
  <c r="C83" i="11"/>
  <c r="B83" i="11"/>
  <c r="A83" i="11"/>
  <c r="S82" i="11"/>
  <c r="CM82" i="1" s="1"/>
  <c r="R82" i="11"/>
  <c r="CL82" i="1" s="1"/>
  <c r="Q82" i="11"/>
  <c r="CK82" i="1" s="1"/>
  <c r="P82" i="11"/>
  <c r="O82" i="11"/>
  <c r="M82" i="11"/>
  <c r="K82" i="11"/>
  <c r="I82" i="11"/>
  <c r="H82" i="11"/>
  <c r="G82" i="11"/>
  <c r="F82" i="11"/>
  <c r="E82" i="11"/>
  <c r="D82" i="11"/>
  <c r="C82" i="11"/>
  <c r="B82" i="11"/>
  <c r="A82" i="11"/>
  <c r="BX103" i="1"/>
  <c r="BV103" i="1"/>
  <c r="BU103" i="1"/>
  <c r="BT103" i="1"/>
  <c r="BS103" i="1"/>
  <c r="AX103" i="1"/>
  <c r="AW103" i="1" s="1"/>
  <c r="AV103" i="1" s="1"/>
  <c r="AA103" i="1"/>
  <c r="Z103" i="1" s="1"/>
  <c r="Q103" i="1"/>
  <c r="N103" i="1"/>
  <c r="BW103" i="1" s="1"/>
  <c r="BX102" i="1"/>
  <c r="BV102" i="1"/>
  <c r="BU102" i="1"/>
  <c r="BT102" i="1"/>
  <c r="BS102" i="1"/>
  <c r="AX102" i="1"/>
  <c r="AW102" i="1" s="1"/>
  <c r="AV102" i="1" s="1"/>
  <c r="AA102" i="1"/>
  <c r="Q102" i="1"/>
  <c r="N102" i="1"/>
  <c r="BW102" i="1" s="1"/>
  <c r="BX89" i="1"/>
  <c r="BV89" i="1"/>
  <c r="BU89" i="1"/>
  <c r="BT89" i="1"/>
  <c r="BS89" i="1"/>
  <c r="AX89" i="1"/>
  <c r="AW89" i="1" s="1"/>
  <c r="AA89" i="1"/>
  <c r="Z89" i="1" s="1"/>
  <c r="Y89" i="1" s="1"/>
  <c r="Q89" i="1"/>
  <c r="N89" i="1"/>
  <c r="BW89" i="1" s="1"/>
  <c r="BX88" i="1"/>
  <c r="BV88" i="1"/>
  <c r="BU88" i="1"/>
  <c r="BT88" i="1"/>
  <c r="BS88" i="1"/>
  <c r="AX88" i="1"/>
  <c r="AW88" i="1" s="1"/>
  <c r="AV88" i="1" s="1"/>
  <c r="AA88" i="1"/>
  <c r="Z88" i="1" s="1"/>
  <c r="Q88" i="1"/>
  <c r="N88" i="1"/>
  <c r="BW88" i="1" s="1"/>
  <c r="BX85" i="1"/>
  <c r="BV85" i="1"/>
  <c r="BU85" i="1"/>
  <c r="BT85" i="1"/>
  <c r="BS85" i="1"/>
  <c r="AX85" i="1"/>
  <c r="AW85" i="1" s="1"/>
  <c r="AV85" i="1" s="1"/>
  <c r="AA85" i="1"/>
  <c r="Q85" i="1"/>
  <c r="N85" i="1"/>
  <c r="BX84" i="1"/>
  <c r="BV84" i="1"/>
  <c r="BU84" i="1"/>
  <c r="BT84" i="1"/>
  <c r="BS84" i="1"/>
  <c r="AX84" i="1"/>
  <c r="AW84" i="1" s="1"/>
  <c r="AV84" i="1" s="1"/>
  <c r="AA84" i="1"/>
  <c r="Q84" i="1"/>
  <c r="N84" i="1"/>
  <c r="BX83" i="1"/>
  <c r="BV83" i="1"/>
  <c r="BU83" i="1"/>
  <c r="BT83" i="1"/>
  <c r="BS83" i="1"/>
  <c r="AX83" i="1"/>
  <c r="AA83" i="1"/>
  <c r="Q83" i="1"/>
  <c r="N83" i="1"/>
  <c r="BX82" i="1"/>
  <c r="BV82" i="1"/>
  <c r="BU82" i="1"/>
  <c r="BT82" i="1"/>
  <c r="BS82" i="1"/>
  <c r="AX82" i="1"/>
  <c r="AA82" i="1"/>
  <c r="Z82" i="1" s="1"/>
  <c r="Y82" i="1" s="1"/>
  <c r="Q82" i="1"/>
  <c r="N82" i="1"/>
  <c r="BW82" i="1" s="1"/>
  <c r="BX81" i="1"/>
  <c r="BV81" i="1"/>
  <c r="BU81" i="1"/>
  <c r="BT81" i="1"/>
  <c r="BS81" i="1"/>
  <c r="AX81" i="1"/>
  <c r="AW81" i="1" s="1"/>
  <c r="AV81" i="1" s="1"/>
  <c r="AA81" i="1"/>
  <c r="Q81" i="1"/>
  <c r="N81" i="1"/>
  <c r="BW81" i="1" s="1"/>
  <c r="BX93" i="1"/>
  <c r="BV93" i="1"/>
  <c r="BU93" i="1"/>
  <c r="BT93" i="1"/>
  <c r="BS93" i="1"/>
  <c r="AX93" i="1"/>
  <c r="AW93" i="1" s="1"/>
  <c r="AV93" i="1" s="1"/>
  <c r="AA93" i="1"/>
  <c r="Z93" i="1" s="1"/>
  <c r="Q93" i="1"/>
  <c r="N93" i="1"/>
  <c r="BW93" i="1" s="1"/>
  <c r="BX92" i="1"/>
  <c r="BV92" i="1"/>
  <c r="BU92" i="1"/>
  <c r="BT92" i="1"/>
  <c r="BS92" i="1"/>
  <c r="AX92" i="1"/>
  <c r="AW92" i="1" s="1"/>
  <c r="AA92" i="1"/>
  <c r="Z92" i="1" s="1"/>
  <c r="Y92" i="1" s="1"/>
  <c r="Q92" i="1"/>
  <c r="N92" i="1"/>
  <c r="BW92" i="1" s="1"/>
  <c r="BX91" i="1"/>
  <c r="BV91" i="1"/>
  <c r="BU91" i="1"/>
  <c r="BT91" i="1"/>
  <c r="BS91" i="1"/>
  <c r="AX91" i="1"/>
  <c r="AA91" i="1"/>
  <c r="Z91" i="1" s="1"/>
  <c r="Q91" i="1"/>
  <c r="N91" i="1"/>
  <c r="BW91" i="1" s="1"/>
  <c r="BX90" i="1"/>
  <c r="BV90" i="1"/>
  <c r="BU90" i="1"/>
  <c r="BT90" i="1"/>
  <c r="BS90" i="1"/>
  <c r="AX90" i="1"/>
  <c r="AW90" i="1" s="1"/>
  <c r="AV90" i="1" s="1"/>
  <c r="AA90" i="1"/>
  <c r="Q90" i="1"/>
  <c r="N90" i="1"/>
  <c r="BW90" i="1" s="1"/>
  <c r="BX97" i="1"/>
  <c r="BV97" i="1"/>
  <c r="BU97" i="1"/>
  <c r="BT97" i="1"/>
  <c r="BS97" i="1"/>
  <c r="AX97" i="1"/>
  <c r="AW97" i="1" s="1"/>
  <c r="AA97" i="1"/>
  <c r="Z97" i="1" s="1"/>
  <c r="Y97" i="1" s="1"/>
  <c r="Q97" i="1"/>
  <c r="N97" i="1"/>
  <c r="BW97" i="1" s="1"/>
  <c r="BX98" i="1"/>
  <c r="BV98" i="1"/>
  <c r="BU98" i="1"/>
  <c r="BT98" i="1"/>
  <c r="BS98" i="1"/>
  <c r="AX98" i="1"/>
  <c r="AW98" i="1" s="1"/>
  <c r="AV98" i="1" s="1"/>
  <c r="AA98" i="1"/>
  <c r="Z98" i="1" s="1"/>
  <c r="Q98" i="1"/>
  <c r="N98" i="1"/>
  <c r="BW98" i="1" s="1"/>
  <c r="BX99" i="1"/>
  <c r="BV99" i="1"/>
  <c r="BU99" i="1"/>
  <c r="BT99" i="1"/>
  <c r="BS99" i="1"/>
  <c r="AX99" i="1"/>
  <c r="AW99" i="1" s="1"/>
  <c r="AV99" i="1" s="1"/>
  <c r="AA99" i="1"/>
  <c r="Z99" i="1" s="1"/>
  <c r="Q99" i="1"/>
  <c r="N99" i="1"/>
  <c r="BW99" i="1" s="1"/>
  <c r="BX101" i="1"/>
  <c r="BV101" i="1"/>
  <c r="BU101" i="1"/>
  <c r="BT101" i="1"/>
  <c r="BS101" i="1"/>
  <c r="AX101" i="1"/>
  <c r="AW101" i="1" s="1"/>
  <c r="AV101" i="1" s="1"/>
  <c r="AA101" i="1"/>
  <c r="Q101" i="1"/>
  <c r="N101" i="1"/>
  <c r="BW101" i="1" s="1"/>
  <c r="BX100" i="1"/>
  <c r="BV100" i="1"/>
  <c r="BU100" i="1"/>
  <c r="BT100" i="1"/>
  <c r="BS100" i="1"/>
  <c r="AX100" i="1"/>
  <c r="AW100" i="1" s="1"/>
  <c r="AV100" i="1" s="1"/>
  <c r="AA100" i="1"/>
  <c r="Z100" i="1" s="1"/>
  <c r="Q100" i="1"/>
  <c r="N100" i="1"/>
  <c r="BW100" i="1" s="1"/>
  <c r="A106" i="11"/>
  <c r="B106" i="11"/>
  <c r="C106" i="11"/>
  <c r="D106" i="11"/>
  <c r="E106" i="11"/>
  <c r="F106" i="11"/>
  <c r="G106" i="11"/>
  <c r="H106" i="11"/>
  <c r="I106" i="11"/>
  <c r="K106" i="11"/>
  <c r="M106" i="11"/>
  <c r="O106" i="11"/>
  <c r="P106" i="11"/>
  <c r="Q106" i="11"/>
  <c r="CK106" i="1" s="1"/>
  <c r="R106" i="11"/>
  <c r="CL106" i="1" s="1"/>
  <c r="S106" i="11"/>
  <c r="CM106" i="1" s="1"/>
  <c r="A107" i="11"/>
  <c r="B107" i="11"/>
  <c r="C107" i="11"/>
  <c r="D107" i="11"/>
  <c r="E107" i="11"/>
  <c r="F107" i="11"/>
  <c r="G107" i="11"/>
  <c r="H107" i="11"/>
  <c r="I107" i="11"/>
  <c r="K107" i="11"/>
  <c r="M107" i="11"/>
  <c r="O107" i="11"/>
  <c r="P107" i="11"/>
  <c r="Q107" i="11"/>
  <c r="CK107" i="1" s="1"/>
  <c r="R107" i="11"/>
  <c r="CL107" i="1" s="1"/>
  <c r="S107" i="11"/>
  <c r="CM107" i="1" s="1"/>
  <c r="A108" i="11"/>
  <c r="B108" i="11"/>
  <c r="C108" i="11"/>
  <c r="D108" i="11"/>
  <c r="E108" i="11"/>
  <c r="F108" i="11"/>
  <c r="G108" i="11"/>
  <c r="H108" i="11"/>
  <c r="I108" i="11"/>
  <c r="K108" i="11"/>
  <c r="M108" i="11"/>
  <c r="O108" i="11"/>
  <c r="P108" i="11"/>
  <c r="Q108" i="11"/>
  <c r="CK108" i="1" s="1"/>
  <c r="R108" i="11"/>
  <c r="CL108" i="1" s="1"/>
  <c r="S108" i="11"/>
  <c r="CM108" i="1" s="1"/>
  <c r="A109" i="11"/>
  <c r="B109" i="11"/>
  <c r="C109" i="11"/>
  <c r="D109" i="11"/>
  <c r="E109" i="11"/>
  <c r="F109" i="11"/>
  <c r="G109" i="11"/>
  <c r="H109" i="11"/>
  <c r="I109" i="11"/>
  <c r="K109" i="11"/>
  <c r="M109" i="11"/>
  <c r="O109" i="11"/>
  <c r="P109" i="11"/>
  <c r="Q109" i="11"/>
  <c r="CK109" i="1" s="1"/>
  <c r="R109" i="11"/>
  <c r="CL109" i="1" s="1"/>
  <c r="S109" i="11"/>
  <c r="CM109" i="1" s="1"/>
  <c r="A110" i="11"/>
  <c r="B110" i="11"/>
  <c r="C110" i="11"/>
  <c r="D110" i="11"/>
  <c r="E110" i="11"/>
  <c r="F110" i="11"/>
  <c r="G110" i="11"/>
  <c r="H110" i="11"/>
  <c r="I110" i="11"/>
  <c r="K110" i="11"/>
  <c r="M110" i="11"/>
  <c r="O110" i="11"/>
  <c r="P110" i="11"/>
  <c r="Q110" i="11"/>
  <c r="CK110" i="1" s="1"/>
  <c r="R110" i="11"/>
  <c r="CL110" i="1" s="1"/>
  <c r="S110" i="11"/>
  <c r="CM110" i="1" s="1"/>
  <c r="A111" i="11"/>
  <c r="B111" i="11"/>
  <c r="C111" i="11"/>
  <c r="D111" i="11"/>
  <c r="E111" i="11"/>
  <c r="F111" i="11"/>
  <c r="G111" i="11"/>
  <c r="H111" i="11"/>
  <c r="I111" i="11"/>
  <c r="K111" i="11"/>
  <c r="M111" i="11"/>
  <c r="O111" i="11"/>
  <c r="P111" i="11"/>
  <c r="Q111" i="11"/>
  <c r="CK111" i="1" s="1"/>
  <c r="R111" i="11"/>
  <c r="CL111" i="1" s="1"/>
  <c r="S111" i="11"/>
  <c r="CM111" i="1" s="1"/>
  <c r="A112" i="11"/>
  <c r="B112" i="11"/>
  <c r="C112" i="11"/>
  <c r="D112" i="11"/>
  <c r="E112" i="11"/>
  <c r="F112" i="11"/>
  <c r="G112" i="11"/>
  <c r="H112" i="11"/>
  <c r="I112" i="11"/>
  <c r="K112" i="11"/>
  <c r="M112" i="11"/>
  <c r="O112" i="11"/>
  <c r="P112" i="11"/>
  <c r="Q112" i="11"/>
  <c r="CK112" i="1" s="1"/>
  <c r="R112" i="11"/>
  <c r="CL112" i="1" s="1"/>
  <c r="S112" i="11"/>
  <c r="CM112" i="1" s="1"/>
  <c r="A113" i="11"/>
  <c r="B113" i="11"/>
  <c r="C113" i="11"/>
  <c r="D113" i="11"/>
  <c r="E113" i="11"/>
  <c r="F113" i="11"/>
  <c r="G113" i="11"/>
  <c r="H113" i="11"/>
  <c r="I113" i="11"/>
  <c r="K113" i="11"/>
  <c r="M113" i="11"/>
  <c r="O113" i="11"/>
  <c r="P113" i="11"/>
  <c r="Q113" i="11"/>
  <c r="CK113" i="1" s="1"/>
  <c r="R113" i="11"/>
  <c r="CL113" i="1" s="1"/>
  <c r="S113" i="11"/>
  <c r="CM113" i="1" s="1"/>
  <c r="A114" i="11"/>
  <c r="B114" i="11"/>
  <c r="C114" i="11"/>
  <c r="D114" i="11"/>
  <c r="E114" i="11"/>
  <c r="F114" i="11"/>
  <c r="G114" i="11"/>
  <c r="H114" i="11"/>
  <c r="I114" i="11"/>
  <c r="K114" i="11"/>
  <c r="M114" i="11"/>
  <c r="O114" i="11"/>
  <c r="P114" i="11"/>
  <c r="Q114" i="11"/>
  <c r="CK114" i="1" s="1"/>
  <c r="R114" i="11"/>
  <c r="CL114" i="1" s="1"/>
  <c r="S114" i="11"/>
  <c r="CM114" i="1" s="1"/>
  <c r="A115" i="11"/>
  <c r="B115" i="11"/>
  <c r="C115" i="11"/>
  <c r="D115" i="11"/>
  <c r="E115" i="11"/>
  <c r="F115" i="11"/>
  <c r="G115" i="11"/>
  <c r="H115" i="11"/>
  <c r="I115" i="11"/>
  <c r="K115" i="11"/>
  <c r="M115" i="11"/>
  <c r="O115" i="11"/>
  <c r="P115" i="11"/>
  <c r="Q115" i="11"/>
  <c r="CK115" i="1" s="1"/>
  <c r="R115" i="11"/>
  <c r="CL115" i="1" s="1"/>
  <c r="S115" i="11"/>
  <c r="CM115" i="1" s="1"/>
  <c r="A116" i="11"/>
  <c r="B116" i="11"/>
  <c r="C116" i="11"/>
  <c r="D116" i="11"/>
  <c r="E116" i="11"/>
  <c r="F116" i="11"/>
  <c r="G116" i="11"/>
  <c r="H116" i="11"/>
  <c r="I116" i="11"/>
  <c r="K116" i="11"/>
  <c r="M116" i="11"/>
  <c r="O116" i="11"/>
  <c r="P116" i="11"/>
  <c r="Q116" i="11"/>
  <c r="CK116" i="1" s="1"/>
  <c r="R116" i="11"/>
  <c r="CL116" i="1" s="1"/>
  <c r="S116" i="11"/>
  <c r="CM116" i="1" s="1"/>
  <c r="A117" i="11"/>
  <c r="B117" i="11"/>
  <c r="C117" i="11"/>
  <c r="D117" i="11"/>
  <c r="E117" i="11"/>
  <c r="F117" i="11"/>
  <c r="G117" i="11"/>
  <c r="H117" i="11"/>
  <c r="I117" i="11"/>
  <c r="K117" i="11"/>
  <c r="M117" i="11"/>
  <c r="O117" i="11"/>
  <c r="P117" i="11"/>
  <c r="Q117" i="11"/>
  <c r="CK117" i="1" s="1"/>
  <c r="R117" i="11"/>
  <c r="CL117" i="1" s="1"/>
  <c r="S117" i="11"/>
  <c r="CM117" i="1" s="1"/>
  <c r="A118" i="11"/>
  <c r="B118" i="11"/>
  <c r="C118" i="11"/>
  <c r="D118" i="11"/>
  <c r="E118" i="11"/>
  <c r="F118" i="11"/>
  <c r="G118" i="11"/>
  <c r="H118" i="11"/>
  <c r="I118" i="11"/>
  <c r="K118" i="11"/>
  <c r="M118" i="11"/>
  <c r="O118" i="11"/>
  <c r="P118" i="11"/>
  <c r="Q118" i="11"/>
  <c r="CK118" i="1" s="1"/>
  <c r="R118" i="11"/>
  <c r="CL118" i="1" s="1"/>
  <c r="S118" i="11"/>
  <c r="CM118" i="1" s="1"/>
  <c r="A119" i="11"/>
  <c r="B119" i="11"/>
  <c r="C119" i="11"/>
  <c r="D119" i="11"/>
  <c r="E119" i="11"/>
  <c r="F119" i="11"/>
  <c r="G119" i="11"/>
  <c r="H119" i="11"/>
  <c r="I119" i="11"/>
  <c r="K119" i="11"/>
  <c r="M119" i="11"/>
  <c r="O119" i="11"/>
  <c r="P119" i="11"/>
  <c r="Q119" i="11"/>
  <c r="CK119" i="1" s="1"/>
  <c r="R119" i="11"/>
  <c r="CL119" i="1" s="1"/>
  <c r="S119" i="11"/>
  <c r="CM119" i="1" s="1"/>
  <c r="A120" i="11"/>
  <c r="B120" i="11"/>
  <c r="C120" i="11"/>
  <c r="D120" i="11"/>
  <c r="E120" i="11"/>
  <c r="F120" i="11"/>
  <c r="G120" i="11"/>
  <c r="H120" i="11"/>
  <c r="I120" i="11"/>
  <c r="K120" i="11"/>
  <c r="M120" i="11"/>
  <c r="O120" i="11"/>
  <c r="P120" i="11"/>
  <c r="Q120" i="11"/>
  <c r="CK120" i="1" s="1"/>
  <c r="R120" i="11"/>
  <c r="CL120" i="1" s="1"/>
  <c r="S120" i="11"/>
  <c r="CM120" i="1" s="1"/>
  <c r="A121" i="11"/>
  <c r="B121" i="11"/>
  <c r="C121" i="11"/>
  <c r="D121" i="11"/>
  <c r="E121" i="11"/>
  <c r="F121" i="11"/>
  <c r="G121" i="11"/>
  <c r="H121" i="11"/>
  <c r="I121" i="11"/>
  <c r="K121" i="11"/>
  <c r="M121" i="11"/>
  <c r="O121" i="11"/>
  <c r="P121" i="11"/>
  <c r="Q121" i="11"/>
  <c r="CK121" i="1" s="1"/>
  <c r="R121" i="11"/>
  <c r="CL121" i="1" s="1"/>
  <c r="S121" i="11"/>
  <c r="CM121" i="1" s="1"/>
  <c r="BX111" i="1"/>
  <c r="BV111" i="1"/>
  <c r="BU111" i="1"/>
  <c r="BT111" i="1"/>
  <c r="BS111" i="1"/>
  <c r="AX111" i="1"/>
  <c r="AW111" i="1" s="1"/>
  <c r="AA111" i="1"/>
  <c r="Z111" i="1" s="1"/>
  <c r="N111" i="1"/>
  <c r="BW111" i="1" s="1"/>
  <c r="BX110" i="1"/>
  <c r="BV110" i="1"/>
  <c r="BU110" i="1"/>
  <c r="BT110" i="1"/>
  <c r="BS110" i="1"/>
  <c r="AX110" i="1"/>
  <c r="AW110" i="1" s="1"/>
  <c r="AV110" i="1" s="1"/>
  <c r="AA110" i="1"/>
  <c r="Z110" i="1" s="1"/>
  <c r="N110" i="1"/>
  <c r="BW110" i="1" s="1"/>
  <c r="BX115" i="1"/>
  <c r="BV115" i="1"/>
  <c r="BU115" i="1"/>
  <c r="BT115" i="1"/>
  <c r="BS115" i="1"/>
  <c r="AX115" i="1"/>
  <c r="AW115" i="1" s="1"/>
  <c r="AV115" i="1" s="1"/>
  <c r="AA115" i="1"/>
  <c r="Z115" i="1" s="1"/>
  <c r="N115" i="1"/>
  <c r="BW115" i="1" s="1"/>
  <c r="BX114" i="1"/>
  <c r="BV114" i="1"/>
  <c r="BU114" i="1"/>
  <c r="BT114" i="1"/>
  <c r="BS114" i="1"/>
  <c r="AX114" i="1"/>
  <c r="AW114" i="1" s="1"/>
  <c r="AV114" i="1" s="1"/>
  <c r="AA114" i="1"/>
  <c r="Z114" i="1" s="1"/>
  <c r="Q114" i="1"/>
  <c r="N114" i="1"/>
  <c r="BW114" i="1" s="1"/>
  <c r="BX113" i="1"/>
  <c r="BV113" i="1"/>
  <c r="BU113" i="1"/>
  <c r="BT113" i="1"/>
  <c r="BS113" i="1"/>
  <c r="AX113" i="1"/>
  <c r="AW113" i="1" s="1"/>
  <c r="AA113" i="1"/>
  <c r="Z113" i="1" s="1"/>
  <c r="Y113" i="1" s="1"/>
  <c r="N113" i="1"/>
  <c r="BW113" i="1" s="1"/>
  <c r="BX112" i="1"/>
  <c r="BV112" i="1"/>
  <c r="BU112" i="1"/>
  <c r="BT112" i="1"/>
  <c r="BS112" i="1"/>
  <c r="AX112" i="1"/>
  <c r="AW112" i="1" s="1"/>
  <c r="AV112" i="1" s="1"/>
  <c r="AA112" i="1"/>
  <c r="Z112" i="1" s="1"/>
  <c r="N112" i="1"/>
  <c r="BW112" i="1" s="1"/>
  <c r="BX117" i="1"/>
  <c r="BV117" i="1"/>
  <c r="BU117" i="1"/>
  <c r="BT117" i="1"/>
  <c r="BS117" i="1"/>
  <c r="AX117" i="1"/>
  <c r="AW117" i="1" s="1"/>
  <c r="AV117" i="1" s="1"/>
  <c r="AA117" i="1"/>
  <c r="Z117" i="1" s="1"/>
  <c r="N117" i="1"/>
  <c r="BW117" i="1" s="1"/>
  <c r="BX116" i="1"/>
  <c r="BV116" i="1"/>
  <c r="BU116" i="1"/>
  <c r="BT116" i="1"/>
  <c r="BS116" i="1"/>
  <c r="AX116" i="1"/>
  <c r="AW116" i="1" s="1"/>
  <c r="AV116" i="1" s="1"/>
  <c r="AA116" i="1"/>
  <c r="Z116" i="1" s="1"/>
  <c r="N116" i="1"/>
  <c r="BW116" i="1" s="1"/>
  <c r="BX118" i="1"/>
  <c r="BV118" i="1"/>
  <c r="BU118" i="1"/>
  <c r="BT118" i="1"/>
  <c r="BS118" i="1"/>
  <c r="AX118" i="1"/>
  <c r="AW118" i="1" s="1"/>
  <c r="AV118" i="1" s="1"/>
  <c r="AA118" i="1"/>
  <c r="Z118" i="1" s="1"/>
  <c r="N118" i="1"/>
  <c r="BW118" i="1" s="1"/>
  <c r="BX120" i="1"/>
  <c r="BV120" i="1"/>
  <c r="BU120" i="1"/>
  <c r="BT120" i="1"/>
  <c r="BS120" i="1"/>
  <c r="AX120" i="1"/>
  <c r="AW120" i="1" s="1"/>
  <c r="AV120" i="1" s="1"/>
  <c r="AA120" i="1"/>
  <c r="Z120" i="1" s="1"/>
  <c r="N120" i="1"/>
  <c r="BW120" i="1" s="1"/>
  <c r="BX119" i="1"/>
  <c r="BV119" i="1"/>
  <c r="BU119" i="1"/>
  <c r="BT119" i="1"/>
  <c r="BS119" i="1"/>
  <c r="AX119" i="1"/>
  <c r="AW119" i="1" s="1"/>
  <c r="AV119" i="1" s="1"/>
  <c r="AA119" i="1"/>
  <c r="Z119" i="1" s="1"/>
  <c r="N119" i="1"/>
  <c r="BW119" i="1" s="1"/>
  <c r="BD46" i="17"/>
  <c r="BE46" i="17"/>
  <c r="BF46" i="17"/>
  <c r="BD42" i="17"/>
  <c r="BE42" i="17"/>
  <c r="BF42" i="17"/>
  <c r="BD34" i="17"/>
  <c r="BE34" i="17"/>
  <c r="BF34" i="17"/>
  <c r="BD24" i="17"/>
  <c r="BE24" i="17"/>
  <c r="BF24" i="17"/>
  <c r="BD122" i="6"/>
  <c r="BE122" i="6"/>
  <c r="BF122" i="6"/>
  <c r="BD123" i="6"/>
  <c r="BE123" i="6"/>
  <c r="BF123" i="6"/>
  <c r="BD104" i="6"/>
  <c r="BE104" i="6"/>
  <c r="BF104" i="6"/>
  <c r="BD80" i="6"/>
  <c r="BE80" i="6"/>
  <c r="BF80" i="6"/>
  <c r="BD61" i="6"/>
  <c r="BE61" i="6"/>
  <c r="BF61" i="6"/>
  <c r="BD42" i="6"/>
  <c r="BE42" i="6"/>
  <c r="BF42" i="6"/>
  <c r="BD122" i="11"/>
  <c r="BE122" i="11"/>
  <c r="BF122" i="11"/>
  <c r="BD123" i="11"/>
  <c r="BE123" i="11"/>
  <c r="BF123" i="11"/>
  <c r="BP104" i="1"/>
  <c r="BS27" i="1"/>
  <c r="BT27" i="1"/>
  <c r="BU27" i="1"/>
  <c r="BV27" i="1"/>
  <c r="BX27" i="1"/>
  <c r="BS28" i="1"/>
  <c r="BT28" i="1"/>
  <c r="BU28" i="1"/>
  <c r="BV28" i="1"/>
  <c r="BX28" i="1"/>
  <c r="BS29" i="1"/>
  <c r="BT29" i="1"/>
  <c r="BU29" i="1"/>
  <c r="BV29" i="1"/>
  <c r="BX29" i="1"/>
  <c r="BS30" i="1"/>
  <c r="BT30" i="1"/>
  <c r="BU30" i="1"/>
  <c r="BV30" i="1"/>
  <c r="BX30" i="1"/>
  <c r="BS31" i="1"/>
  <c r="BT31" i="1"/>
  <c r="BU31" i="1"/>
  <c r="BV31" i="1"/>
  <c r="BX31" i="1"/>
  <c r="BS32" i="1"/>
  <c r="BT32" i="1"/>
  <c r="BU32" i="1"/>
  <c r="BV32" i="1"/>
  <c r="BX32" i="1"/>
  <c r="BS34" i="1"/>
  <c r="BT34" i="1"/>
  <c r="BU34" i="1"/>
  <c r="BV34" i="1"/>
  <c r="BX34" i="1"/>
  <c r="BS35" i="1"/>
  <c r="BT35" i="1"/>
  <c r="BU35" i="1"/>
  <c r="BV35" i="1"/>
  <c r="BX35" i="1"/>
  <c r="BS37" i="1"/>
  <c r="BT37" i="1"/>
  <c r="BU37" i="1"/>
  <c r="BV37" i="1"/>
  <c r="BX37" i="1"/>
  <c r="BS38" i="1"/>
  <c r="BT38" i="1"/>
  <c r="BU38" i="1"/>
  <c r="BV38" i="1"/>
  <c r="BX38" i="1"/>
  <c r="BS39" i="1"/>
  <c r="BT39" i="1"/>
  <c r="BU39" i="1"/>
  <c r="BV39" i="1"/>
  <c r="BX39" i="1"/>
  <c r="BS40" i="1"/>
  <c r="BT40" i="1"/>
  <c r="BU40" i="1"/>
  <c r="BV40" i="1"/>
  <c r="BX40" i="1"/>
  <c r="BS41" i="1"/>
  <c r="BT41" i="1"/>
  <c r="BU41" i="1"/>
  <c r="BV41" i="1"/>
  <c r="BX41" i="1"/>
  <c r="BS43" i="1"/>
  <c r="BT43" i="1"/>
  <c r="BU43" i="1"/>
  <c r="BV43" i="1"/>
  <c r="BX43" i="1"/>
  <c r="BS44" i="1"/>
  <c r="BT44" i="1"/>
  <c r="BU44" i="1"/>
  <c r="BV44" i="1"/>
  <c r="BX44" i="1"/>
  <c r="BS45" i="1"/>
  <c r="BT45" i="1"/>
  <c r="BU45" i="1"/>
  <c r="BV45" i="1"/>
  <c r="BX45" i="1"/>
  <c r="BS46" i="1"/>
  <c r="BT46" i="1"/>
  <c r="BU46" i="1"/>
  <c r="BV46" i="1"/>
  <c r="BX46" i="1"/>
  <c r="BS47" i="1"/>
  <c r="BT47" i="1"/>
  <c r="BU47" i="1"/>
  <c r="BV47" i="1"/>
  <c r="BX47" i="1"/>
  <c r="BS48" i="1"/>
  <c r="BT48" i="1"/>
  <c r="BU48" i="1"/>
  <c r="BV48" i="1"/>
  <c r="BX48" i="1"/>
  <c r="BS49" i="1"/>
  <c r="BT49" i="1"/>
  <c r="BU49" i="1"/>
  <c r="BV49" i="1"/>
  <c r="BX49" i="1"/>
  <c r="BS50" i="1"/>
  <c r="BT50" i="1"/>
  <c r="BU50" i="1"/>
  <c r="BV50" i="1"/>
  <c r="BX50" i="1"/>
  <c r="BS52" i="1"/>
  <c r="BT52" i="1"/>
  <c r="BU52" i="1"/>
  <c r="BV52" i="1"/>
  <c r="BX52" i="1"/>
  <c r="BS53" i="1"/>
  <c r="BT53" i="1"/>
  <c r="BU53" i="1"/>
  <c r="BV53" i="1"/>
  <c r="BX53" i="1"/>
  <c r="BS54" i="1"/>
  <c r="BT54" i="1"/>
  <c r="BU54" i="1"/>
  <c r="BV54" i="1"/>
  <c r="BX54" i="1"/>
  <c r="BS55" i="1"/>
  <c r="BT55" i="1"/>
  <c r="BU55" i="1"/>
  <c r="BV55" i="1"/>
  <c r="BX55" i="1"/>
  <c r="BS56" i="1"/>
  <c r="BT56" i="1"/>
  <c r="BU56" i="1"/>
  <c r="BV56" i="1"/>
  <c r="BX56" i="1"/>
  <c r="BS57" i="1"/>
  <c r="BT57" i="1"/>
  <c r="BU57" i="1"/>
  <c r="BV57" i="1"/>
  <c r="BX57" i="1"/>
  <c r="BS58" i="1"/>
  <c r="BT58" i="1"/>
  <c r="BU58" i="1"/>
  <c r="BV58" i="1"/>
  <c r="BX58" i="1"/>
  <c r="BS59" i="1"/>
  <c r="BT59" i="1"/>
  <c r="BU59" i="1"/>
  <c r="BV59" i="1"/>
  <c r="BX59" i="1"/>
  <c r="BS60" i="1"/>
  <c r="BT60" i="1"/>
  <c r="BU60" i="1"/>
  <c r="BV60" i="1"/>
  <c r="BX60" i="1"/>
  <c r="BS62" i="1"/>
  <c r="BT62" i="1"/>
  <c r="BU62" i="1"/>
  <c r="BV62" i="1"/>
  <c r="BX62" i="1"/>
  <c r="BS63" i="1"/>
  <c r="BT63" i="1"/>
  <c r="BU63" i="1"/>
  <c r="BV63" i="1"/>
  <c r="BX63" i="1"/>
  <c r="BS64" i="1"/>
  <c r="BT64" i="1"/>
  <c r="BU64" i="1"/>
  <c r="BV64" i="1"/>
  <c r="BX64" i="1"/>
  <c r="BS65" i="1"/>
  <c r="BT65" i="1"/>
  <c r="BU65" i="1"/>
  <c r="BV65" i="1"/>
  <c r="BX65" i="1"/>
  <c r="BS66" i="1"/>
  <c r="BT66" i="1"/>
  <c r="BU66" i="1"/>
  <c r="BV66" i="1"/>
  <c r="BX66" i="1"/>
  <c r="BS67" i="1"/>
  <c r="BT67" i="1"/>
  <c r="BU67" i="1"/>
  <c r="BV67" i="1"/>
  <c r="BX67" i="1"/>
  <c r="BS68" i="1"/>
  <c r="BT68" i="1"/>
  <c r="BU68" i="1"/>
  <c r="BV68" i="1"/>
  <c r="BX68" i="1"/>
  <c r="BS69" i="1"/>
  <c r="BT69" i="1"/>
  <c r="BU69" i="1"/>
  <c r="BV69" i="1"/>
  <c r="BX69" i="1"/>
  <c r="BS70" i="1"/>
  <c r="BT70" i="1"/>
  <c r="BU70" i="1"/>
  <c r="BV70" i="1"/>
  <c r="BX70" i="1"/>
  <c r="BS71" i="1"/>
  <c r="BT71" i="1"/>
  <c r="BU71" i="1"/>
  <c r="BV71" i="1"/>
  <c r="BX71" i="1"/>
  <c r="BS72" i="1"/>
  <c r="BT72" i="1"/>
  <c r="BU72" i="1"/>
  <c r="BV72" i="1"/>
  <c r="BX72" i="1"/>
  <c r="BS73" i="1"/>
  <c r="BT73" i="1"/>
  <c r="BU73" i="1"/>
  <c r="BV73" i="1"/>
  <c r="BX73" i="1"/>
  <c r="BS74" i="1"/>
  <c r="BT74" i="1"/>
  <c r="BU74" i="1"/>
  <c r="BV74" i="1"/>
  <c r="BX74" i="1"/>
  <c r="BS75" i="1"/>
  <c r="BT75" i="1"/>
  <c r="BU75" i="1"/>
  <c r="BV75" i="1"/>
  <c r="BX75" i="1"/>
  <c r="BS76" i="1"/>
  <c r="BT76" i="1"/>
  <c r="BU76" i="1"/>
  <c r="BV76" i="1"/>
  <c r="BX76" i="1"/>
  <c r="BS77" i="1"/>
  <c r="BT77" i="1"/>
  <c r="BU77" i="1"/>
  <c r="BV77" i="1"/>
  <c r="BX77" i="1"/>
  <c r="BS78" i="1"/>
  <c r="BT78" i="1"/>
  <c r="BU78" i="1"/>
  <c r="BV78" i="1"/>
  <c r="BX78" i="1"/>
  <c r="BS79" i="1"/>
  <c r="BT79" i="1"/>
  <c r="BU79" i="1"/>
  <c r="BV79" i="1"/>
  <c r="BX79" i="1"/>
  <c r="BS86" i="1"/>
  <c r="BT86" i="1"/>
  <c r="BU86" i="1"/>
  <c r="BV86" i="1"/>
  <c r="BX86" i="1"/>
  <c r="BS87" i="1"/>
  <c r="BT87" i="1"/>
  <c r="BU87" i="1"/>
  <c r="BV87" i="1"/>
  <c r="BX87" i="1"/>
  <c r="BS94" i="1"/>
  <c r="BT94" i="1"/>
  <c r="BU94" i="1"/>
  <c r="BV94" i="1"/>
  <c r="BX94" i="1"/>
  <c r="BS95" i="1"/>
  <c r="BT95" i="1"/>
  <c r="BU95" i="1"/>
  <c r="BV95" i="1"/>
  <c r="BX95" i="1"/>
  <c r="BS96" i="1"/>
  <c r="BT96" i="1"/>
  <c r="BU96" i="1"/>
  <c r="BV96" i="1"/>
  <c r="BX96" i="1"/>
  <c r="BS105" i="1"/>
  <c r="BT105" i="1"/>
  <c r="BU105" i="1"/>
  <c r="BV105" i="1"/>
  <c r="BX105" i="1"/>
  <c r="BS106" i="1"/>
  <c r="BT106" i="1"/>
  <c r="BU106" i="1"/>
  <c r="BV106" i="1"/>
  <c r="BX106" i="1"/>
  <c r="BS107" i="1"/>
  <c r="BT107" i="1"/>
  <c r="BU107" i="1"/>
  <c r="BV107" i="1"/>
  <c r="BX107" i="1"/>
  <c r="BS108" i="1"/>
  <c r="BT108" i="1"/>
  <c r="BU108" i="1"/>
  <c r="BV108" i="1"/>
  <c r="BX108" i="1"/>
  <c r="BS109" i="1"/>
  <c r="BT109" i="1"/>
  <c r="BU109" i="1"/>
  <c r="BV109" i="1"/>
  <c r="BX109" i="1"/>
  <c r="BS121" i="1"/>
  <c r="BT121" i="1"/>
  <c r="BU121" i="1"/>
  <c r="BV121" i="1"/>
  <c r="BX121" i="1"/>
  <c r="BX26" i="1"/>
  <c r="BV26" i="1"/>
  <c r="BU26" i="1"/>
  <c r="BT26" i="1"/>
  <c r="BS26" i="1"/>
  <c r="BX25" i="1"/>
  <c r="BV25" i="1"/>
  <c r="BU25" i="1"/>
  <c r="BT25" i="1"/>
  <c r="BS25" i="1"/>
  <c r="BX24" i="1"/>
  <c r="BV24" i="1"/>
  <c r="BU24" i="1"/>
  <c r="BT24" i="1"/>
  <c r="BS24" i="1"/>
  <c r="BX23" i="1"/>
  <c r="BV23" i="1"/>
  <c r="BU23" i="1"/>
  <c r="BT23" i="1"/>
  <c r="BS23" i="1"/>
  <c r="BX22" i="1"/>
  <c r="BV22" i="1"/>
  <c r="BU22" i="1"/>
  <c r="BT22" i="1"/>
  <c r="BS22" i="1"/>
  <c r="BX21" i="1"/>
  <c r="BV21" i="1"/>
  <c r="BU21" i="1"/>
  <c r="BT21" i="1"/>
  <c r="BS21" i="1"/>
  <c r="BX20" i="1"/>
  <c r="BV20" i="1"/>
  <c r="BU20" i="1"/>
  <c r="BT20" i="1"/>
  <c r="BS20" i="1"/>
  <c r="R33" i="1" l="1"/>
  <c r="S33" i="1"/>
  <c r="M33" i="1"/>
  <c r="BQ33" i="1" s="1"/>
  <c r="BR33" i="1" s="1"/>
  <c r="J33" i="11"/>
  <c r="T33" i="1"/>
  <c r="CE33" i="1"/>
  <c r="CA33" i="1"/>
  <c r="CC33" i="1"/>
  <c r="BZ33" i="1"/>
  <c r="CB33" i="1"/>
  <c r="BW83" i="1"/>
  <c r="BY83" i="1" s="1"/>
  <c r="CE83" i="1" s="1"/>
  <c r="K37" i="17"/>
  <c r="K36" i="17"/>
  <c r="K35" i="17"/>
  <c r="O36" i="17"/>
  <c r="O37" i="17"/>
  <c r="O35" i="17"/>
  <c r="S51" i="1"/>
  <c r="L25" i="17"/>
  <c r="L26" i="17"/>
  <c r="J25" i="17"/>
  <c r="J26" i="17"/>
  <c r="O41" i="17"/>
  <c r="O40" i="17"/>
  <c r="Z83" i="1"/>
  <c r="Y83" i="1" s="1"/>
  <c r="N35" i="17"/>
  <c r="N36" i="17"/>
  <c r="N37" i="17"/>
  <c r="BW85" i="1"/>
  <c r="BY85" i="1" s="1"/>
  <c r="BZ85" i="1" s="1"/>
  <c r="K40" i="17"/>
  <c r="K41" i="17"/>
  <c r="N101" i="11"/>
  <c r="L103" i="11"/>
  <c r="BW84" i="1"/>
  <c r="BY84" i="1" s="1"/>
  <c r="CB84" i="1" s="1"/>
  <c r="K39" i="17"/>
  <c r="K38" i="17"/>
  <c r="Z85" i="1"/>
  <c r="O85" i="1" s="1"/>
  <c r="N41" i="17"/>
  <c r="N40" i="17"/>
  <c r="L98" i="11"/>
  <c r="N82" i="11"/>
  <c r="O38" i="17"/>
  <c r="O39" i="17"/>
  <c r="Z84" i="1"/>
  <c r="L84" i="11" s="1"/>
  <c r="N39" i="17"/>
  <c r="N38" i="17"/>
  <c r="J51" i="11"/>
  <c r="L88" i="11"/>
  <c r="L100" i="11"/>
  <c r="L99" i="11"/>
  <c r="CA51" i="1"/>
  <c r="T51" i="1"/>
  <c r="CC51" i="1"/>
  <c r="CB51" i="1"/>
  <c r="L93" i="11"/>
  <c r="CD51" i="1"/>
  <c r="CG103" i="1"/>
  <c r="N98" i="11"/>
  <c r="BQ51" i="1"/>
  <c r="BR51" i="1" s="1"/>
  <c r="U51" i="1"/>
  <c r="BZ51" i="1"/>
  <c r="CG89" i="1"/>
  <c r="N89" i="11"/>
  <c r="CG88" i="1"/>
  <c r="P102" i="1"/>
  <c r="CG102" i="1"/>
  <c r="CH102" i="1"/>
  <c r="N97" i="11"/>
  <c r="N84" i="11"/>
  <c r="N92" i="11"/>
  <c r="N100" i="11"/>
  <c r="CH103" i="1"/>
  <c r="N103" i="11"/>
  <c r="N85" i="11"/>
  <c r="N93" i="11"/>
  <c r="N90" i="11"/>
  <c r="N88" i="11"/>
  <c r="CH88" i="1"/>
  <c r="N83" i="11"/>
  <c r="L89" i="11"/>
  <c r="N91" i="11"/>
  <c r="L97" i="11"/>
  <c r="N99" i="11"/>
  <c r="L92" i="11"/>
  <c r="N102" i="11"/>
  <c r="O88" i="1"/>
  <c r="R88" i="1" s="1"/>
  <c r="Y88" i="1"/>
  <c r="P89" i="1"/>
  <c r="P88" i="1"/>
  <c r="CH89" i="1"/>
  <c r="O103" i="1"/>
  <c r="S103" i="1" s="1"/>
  <c r="Y103" i="1"/>
  <c r="BY102" i="1"/>
  <c r="CC102" i="1" s="1"/>
  <c r="P103" i="1"/>
  <c r="Z102" i="1"/>
  <c r="L102" i="11" s="1"/>
  <c r="BY103" i="1"/>
  <c r="CE103" i="1" s="1"/>
  <c r="O89" i="1"/>
  <c r="AV89" i="1"/>
  <c r="M89" i="1" s="1"/>
  <c r="S88" i="1"/>
  <c r="BY88" i="1"/>
  <c r="CC88" i="1" s="1"/>
  <c r="BY89" i="1"/>
  <c r="BZ89" i="1" s="1"/>
  <c r="CG84" i="1"/>
  <c r="CG85" i="1"/>
  <c r="CH84" i="1"/>
  <c r="CH83" i="1"/>
  <c r="CH85" i="1"/>
  <c r="P90" i="1"/>
  <c r="CG97" i="1"/>
  <c r="P83" i="1"/>
  <c r="P82" i="1"/>
  <c r="P84" i="1"/>
  <c r="P85" i="1"/>
  <c r="AW83" i="1"/>
  <c r="CG83" i="1"/>
  <c r="CH92" i="1"/>
  <c r="P91" i="1"/>
  <c r="CG81" i="1"/>
  <c r="AW91" i="1"/>
  <c r="AV91" i="1" s="1"/>
  <c r="CH81" i="1"/>
  <c r="P93" i="1"/>
  <c r="CH98" i="1"/>
  <c r="CG93" i="1"/>
  <c r="CG90" i="1"/>
  <c r="CH93" i="1"/>
  <c r="P92" i="1"/>
  <c r="CG92" i="1"/>
  <c r="AW82" i="1"/>
  <c r="AV82" i="1" s="1"/>
  <c r="M82" i="1" s="1"/>
  <c r="P81" i="1"/>
  <c r="CH82" i="1"/>
  <c r="Z90" i="1"/>
  <c r="BY91" i="1"/>
  <c r="CE91" i="1" s="1"/>
  <c r="BY81" i="1"/>
  <c r="CA81" i="1" s="1"/>
  <c r="Z81" i="1"/>
  <c r="BY82" i="1"/>
  <c r="CC82" i="1" s="1"/>
  <c r="CG82" i="1"/>
  <c r="O93" i="1"/>
  <c r="T93" i="1" s="1"/>
  <c r="Y93" i="1"/>
  <c r="BY90" i="1"/>
  <c r="CE90" i="1" s="1"/>
  <c r="O92" i="1"/>
  <c r="S92" i="1" s="1"/>
  <c r="AV92" i="1"/>
  <c r="M92" i="1" s="1"/>
  <c r="Y91" i="1"/>
  <c r="BY92" i="1"/>
  <c r="CD92" i="1" s="1"/>
  <c r="CH90" i="1"/>
  <c r="BY93" i="1"/>
  <c r="CE93" i="1" s="1"/>
  <c r="CG91" i="1"/>
  <c r="CH91" i="1"/>
  <c r="P97" i="1"/>
  <c r="CH116" i="1"/>
  <c r="CG100" i="1"/>
  <c r="CH97" i="1"/>
  <c r="L119" i="11"/>
  <c r="CG98" i="1"/>
  <c r="O97" i="1"/>
  <c r="AV97" i="1"/>
  <c r="M97" i="1" s="1"/>
  <c r="BY97" i="1"/>
  <c r="BZ97" i="1" s="1"/>
  <c r="CH99" i="1"/>
  <c r="CG99" i="1"/>
  <c r="BY98" i="1"/>
  <c r="CD98" i="1" s="1"/>
  <c r="O98" i="1"/>
  <c r="R98" i="1" s="1"/>
  <c r="Y98" i="1"/>
  <c r="P98" i="1"/>
  <c r="P99" i="1"/>
  <c r="O99" i="1"/>
  <c r="R99" i="1" s="1"/>
  <c r="Y99" i="1"/>
  <c r="BY99" i="1"/>
  <c r="CD99" i="1" s="1"/>
  <c r="CH114" i="1"/>
  <c r="P101" i="1"/>
  <c r="CH100" i="1"/>
  <c r="CH101" i="1"/>
  <c r="BY101" i="1"/>
  <c r="BZ101" i="1" s="1"/>
  <c r="Z101" i="1"/>
  <c r="L101" i="11" s="1"/>
  <c r="CG101" i="1"/>
  <c r="BY100" i="1"/>
  <c r="CD100" i="1" s="1"/>
  <c r="O100" i="1"/>
  <c r="Y100" i="1"/>
  <c r="P100" i="1"/>
  <c r="N112" i="11"/>
  <c r="L115" i="11"/>
  <c r="L114" i="11"/>
  <c r="L110" i="11"/>
  <c r="L117" i="11"/>
  <c r="CH110" i="1"/>
  <c r="N113" i="11"/>
  <c r="L113" i="11"/>
  <c r="L120" i="11"/>
  <c r="Y111" i="1"/>
  <c r="L111" i="11"/>
  <c r="Y112" i="1"/>
  <c r="J112" i="11" s="1"/>
  <c r="L112" i="11"/>
  <c r="N117" i="11"/>
  <c r="N111" i="11"/>
  <c r="L118" i="11"/>
  <c r="N116" i="11"/>
  <c r="L116" i="11"/>
  <c r="N110" i="11"/>
  <c r="N115" i="11"/>
  <c r="CG115" i="1"/>
  <c r="N120" i="11"/>
  <c r="N114" i="11"/>
  <c r="CG111" i="1"/>
  <c r="N119" i="11"/>
  <c r="CH111" i="1"/>
  <c r="N118" i="11"/>
  <c r="P111" i="1"/>
  <c r="CH115" i="1"/>
  <c r="P110" i="1"/>
  <c r="P113" i="1"/>
  <c r="O111" i="1"/>
  <c r="T111" i="1" s="1"/>
  <c r="AV111" i="1"/>
  <c r="Y110" i="1"/>
  <c r="O110" i="1"/>
  <c r="S110" i="1" s="1"/>
  <c r="BY110" i="1"/>
  <c r="CB110" i="1" s="1"/>
  <c r="BY111" i="1"/>
  <c r="CD111" i="1" s="1"/>
  <c r="CG110" i="1"/>
  <c r="CG114" i="1"/>
  <c r="CH112" i="1"/>
  <c r="CH119" i="1"/>
  <c r="O112" i="1"/>
  <c r="S112" i="1" s="1"/>
  <c r="P112" i="1"/>
  <c r="CH113" i="1"/>
  <c r="CG112" i="1"/>
  <c r="CG117" i="1"/>
  <c r="O114" i="1"/>
  <c r="T114" i="1" s="1"/>
  <c r="Y114" i="1"/>
  <c r="O113" i="1"/>
  <c r="S113" i="1" s="1"/>
  <c r="AV113" i="1"/>
  <c r="O115" i="1"/>
  <c r="S115" i="1" s="1"/>
  <c r="Y115" i="1"/>
  <c r="BY115" i="1"/>
  <c r="CD115" i="1" s="1"/>
  <c r="BY114" i="1"/>
  <c r="CC114" i="1" s="1"/>
  <c r="BY113" i="1"/>
  <c r="CB113" i="1" s="1"/>
  <c r="P115" i="1"/>
  <c r="P114" i="1"/>
  <c r="CG113" i="1"/>
  <c r="BY112" i="1"/>
  <c r="CB112" i="1" s="1"/>
  <c r="CG116" i="1"/>
  <c r="CG120" i="1"/>
  <c r="O116" i="1"/>
  <c r="T116" i="1" s="1"/>
  <c r="Y116" i="1"/>
  <c r="CG118" i="1"/>
  <c r="P117" i="1"/>
  <c r="CH117" i="1"/>
  <c r="P116" i="1"/>
  <c r="O117" i="1"/>
  <c r="R117" i="1" s="1"/>
  <c r="Y117" i="1"/>
  <c r="BY117" i="1"/>
  <c r="CD117" i="1" s="1"/>
  <c r="BY116" i="1"/>
  <c r="CC116" i="1" s="1"/>
  <c r="CG119" i="1"/>
  <c r="CH120" i="1"/>
  <c r="CH118" i="1"/>
  <c r="CH54" i="1"/>
  <c r="O118" i="1"/>
  <c r="Y118" i="1"/>
  <c r="P118" i="1"/>
  <c r="BY118" i="1"/>
  <c r="CB118" i="1" s="1"/>
  <c r="CH24" i="1"/>
  <c r="CH74" i="1"/>
  <c r="CH57" i="1"/>
  <c r="CH25" i="1"/>
  <c r="O120" i="1"/>
  <c r="Y120" i="1"/>
  <c r="BY120" i="1"/>
  <c r="CD120" i="1" s="1"/>
  <c r="O119" i="1"/>
  <c r="S119" i="1" s="1"/>
  <c r="Y119" i="1"/>
  <c r="P120" i="1"/>
  <c r="BY119" i="1"/>
  <c r="CC119" i="1" s="1"/>
  <c r="P119" i="1"/>
  <c r="CG121" i="1"/>
  <c r="CH40" i="1"/>
  <c r="CG105" i="1"/>
  <c r="CG71" i="1"/>
  <c r="CG54" i="1"/>
  <c r="CG37" i="1"/>
  <c r="CH56" i="1"/>
  <c r="CH76" i="1"/>
  <c r="CH86" i="1"/>
  <c r="CH58" i="1"/>
  <c r="CH73" i="1"/>
  <c r="CH108" i="1"/>
  <c r="CH69" i="1"/>
  <c r="BX123" i="1"/>
  <c r="CG24" i="1"/>
  <c r="CH65" i="1"/>
  <c r="CH48" i="1"/>
  <c r="CH31" i="1"/>
  <c r="CH67" i="1"/>
  <c r="CH39" i="1"/>
  <c r="CH68" i="1"/>
  <c r="CG65" i="1"/>
  <c r="CG48" i="1"/>
  <c r="CH34" i="1"/>
  <c r="CG25" i="1"/>
  <c r="CH94" i="1"/>
  <c r="CH50" i="1"/>
  <c r="CH47" i="1"/>
  <c r="CH30" i="1"/>
  <c r="CH22" i="1"/>
  <c r="CG26" i="1"/>
  <c r="CH79" i="1"/>
  <c r="CG76" i="1"/>
  <c r="CH63" i="1"/>
  <c r="CG59" i="1"/>
  <c r="CH46" i="1"/>
  <c r="CH29" i="1"/>
  <c r="CG95" i="1"/>
  <c r="BS123" i="1"/>
  <c r="CG66" i="1"/>
  <c r="CG49" i="1"/>
  <c r="CG32" i="1"/>
  <c r="CH20" i="1"/>
  <c r="CG86" i="1"/>
  <c r="CH55" i="1"/>
  <c r="CH38" i="1"/>
  <c r="CH21" i="1"/>
  <c r="BU123" i="1"/>
  <c r="CH121" i="1"/>
  <c r="CG107" i="1"/>
  <c r="BT122" i="1"/>
  <c r="CH71" i="1"/>
  <c r="CG68" i="1"/>
  <c r="CG64" i="1"/>
  <c r="CH37" i="1"/>
  <c r="CG34" i="1"/>
  <c r="BV122" i="1"/>
  <c r="BV104" i="1"/>
  <c r="BV123" i="1"/>
  <c r="BU104" i="1"/>
  <c r="CH77" i="1"/>
  <c r="CG74" i="1"/>
  <c r="CH64" i="1"/>
  <c r="CH60" i="1"/>
  <c r="CG57" i="1"/>
  <c r="CH44" i="1"/>
  <c r="CG40" i="1"/>
  <c r="CH27" i="1"/>
  <c r="CG44" i="1"/>
  <c r="BX104" i="1"/>
  <c r="CH96" i="1"/>
  <c r="CG94" i="1"/>
  <c r="BS104" i="1"/>
  <c r="BS42" i="1"/>
  <c r="CH109" i="1"/>
  <c r="CG96" i="1"/>
  <c r="CH87" i="1"/>
  <c r="CH70" i="1"/>
  <c r="CG67" i="1"/>
  <c r="CH53" i="1"/>
  <c r="CG50" i="1"/>
  <c r="BX61" i="1"/>
  <c r="BV61" i="1"/>
  <c r="CH35" i="1"/>
  <c r="CH107" i="1"/>
  <c r="CG77" i="1"/>
  <c r="CG87" i="1"/>
  <c r="CG70" i="1"/>
  <c r="CG53" i="1"/>
  <c r="CG35" i="1"/>
  <c r="BU122" i="1"/>
  <c r="CG60" i="1"/>
  <c r="CH59" i="1"/>
  <c r="CG56" i="1"/>
  <c r="CH43" i="1"/>
  <c r="BX122" i="1"/>
  <c r="BU61" i="1"/>
  <c r="CG72" i="1"/>
  <c r="CG23" i="1"/>
  <c r="CH26" i="1"/>
  <c r="CH95" i="1"/>
  <c r="CG79" i="1"/>
  <c r="CH66" i="1"/>
  <c r="CH49" i="1"/>
  <c r="CG46" i="1"/>
  <c r="CH32" i="1"/>
  <c r="CG29" i="1"/>
  <c r="BX80" i="1"/>
  <c r="CG108" i="1"/>
  <c r="CH106" i="1"/>
  <c r="BV80" i="1"/>
  <c r="CG106" i="1"/>
  <c r="CH75" i="1"/>
  <c r="CG52" i="1"/>
  <c r="CH41" i="1"/>
  <c r="BU42" i="1"/>
  <c r="BU80" i="1"/>
  <c r="BV42" i="1"/>
  <c r="CH78" i="1"/>
  <c r="BT80" i="1"/>
  <c r="CG58" i="1"/>
  <c r="CH45" i="1"/>
  <c r="CG41" i="1"/>
  <c r="CH28" i="1"/>
  <c r="CG78" i="1"/>
  <c r="BS80" i="1"/>
  <c r="CG45" i="1"/>
  <c r="CG28" i="1"/>
  <c r="BT123" i="1"/>
  <c r="CG62" i="1"/>
  <c r="CG109" i="1"/>
  <c r="BX42" i="1"/>
  <c r="CH62" i="1"/>
  <c r="CG20" i="1"/>
  <c r="BT61" i="1"/>
  <c r="BS122" i="1"/>
  <c r="BT104" i="1"/>
  <c r="CG21" i="1"/>
  <c r="CG63" i="1"/>
  <c r="CG75" i="1"/>
  <c r="CH105" i="1"/>
  <c r="BS61" i="1"/>
  <c r="BT42" i="1"/>
  <c r="CG22" i="1"/>
  <c r="CG30" i="1"/>
  <c r="CG38" i="1"/>
  <c r="CG43" i="1"/>
  <c r="CG47" i="1"/>
  <c r="CG55" i="1"/>
  <c r="CH52" i="1"/>
  <c r="CH72" i="1"/>
  <c r="CG27" i="1"/>
  <c r="CG31" i="1"/>
  <c r="CG39" i="1"/>
  <c r="CG69" i="1"/>
  <c r="CG73" i="1"/>
  <c r="CH23" i="1"/>
  <c r="U33" i="1" l="1"/>
  <c r="CI33" i="1"/>
  <c r="CF33" i="1"/>
  <c r="CJ33" i="1"/>
  <c r="L83" i="11"/>
  <c r="L82" i="11"/>
  <c r="L85" i="11"/>
  <c r="Y85" i="1"/>
  <c r="M85" i="1" s="1"/>
  <c r="O84" i="1"/>
  <c r="Y84" i="1"/>
  <c r="M84" i="1" s="1"/>
  <c r="S85" i="1"/>
  <c r="L40" i="17"/>
  <c r="L41" i="17"/>
  <c r="CJ51" i="1"/>
  <c r="J91" i="11"/>
  <c r="S84" i="1"/>
  <c r="CF51" i="1"/>
  <c r="CI51" i="1"/>
  <c r="T88" i="1"/>
  <c r="R103" i="1"/>
  <c r="T103" i="1"/>
  <c r="CE102" i="1"/>
  <c r="M98" i="1"/>
  <c r="U98" i="1" s="1"/>
  <c r="J98" i="11"/>
  <c r="M100" i="1"/>
  <c r="BQ100" i="1" s="1"/>
  <c r="BR100" i="1" s="1"/>
  <c r="J100" i="11"/>
  <c r="CB83" i="1"/>
  <c r="BZ83" i="1"/>
  <c r="J82" i="11"/>
  <c r="J89" i="11"/>
  <c r="M99" i="1"/>
  <c r="BQ99" i="1" s="1"/>
  <c r="BR99" i="1" s="1"/>
  <c r="J99" i="11"/>
  <c r="M88" i="1"/>
  <c r="J88" i="11"/>
  <c r="J92" i="11"/>
  <c r="Y90" i="1"/>
  <c r="L90" i="11"/>
  <c r="L91" i="11"/>
  <c r="M103" i="1"/>
  <c r="U103" i="1" s="1"/>
  <c r="J103" i="11"/>
  <c r="M93" i="1"/>
  <c r="BQ93" i="1" s="1"/>
  <c r="BR93" i="1" s="1"/>
  <c r="J93" i="11"/>
  <c r="CA88" i="1"/>
  <c r="CA102" i="1"/>
  <c r="CB102" i="1"/>
  <c r="J97" i="11"/>
  <c r="BZ88" i="1"/>
  <c r="CE89" i="1"/>
  <c r="BZ102" i="1"/>
  <c r="CD102" i="1"/>
  <c r="O102" i="1"/>
  <c r="Y102" i="1"/>
  <c r="CB103" i="1"/>
  <c r="CC103" i="1"/>
  <c r="BZ103" i="1"/>
  <c r="CA103" i="1"/>
  <c r="CD103" i="1"/>
  <c r="BQ89" i="1"/>
  <c r="BR89" i="1" s="1"/>
  <c r="U89" i="1"/>
  <c r="CB88" i="1"/>
  <c r="CC89" i="1"/>
  <c r="CB89" i="1"/>
  <c r="T89" i="1"/>
  <c r="R89" i="1"/>
  <c r="S89" i="1"/>
  <c r="CA89" i="1"/>
  <c r="CD89" i="1"/>
  <c r="CD88" i="1"/>
  <c r="CE88" i="1"/>
  <c r="CA83" i="1"/>
  <c r="M91" i="1"/>
  <c r="BQ91" i="1" s="1"/>
  <c r="BR91" i="1" s="1"/>
  <c r="R85" i="1"/>
  <c r="CD84" i="1"/>
  <c r="CC84" i="1"/>
  <c r="O82" i="1"/>
  <c r="T82" i="1" s="1"/>
  <c r="CB91" i="1"/>
  <c r="CD83" i="1"/>
  <c r="CE84" i="1"/>
  <c r="CA85" i="1"/>
  <c r="CE85" i="1"/>
  <c r="CC85" i="1"/>
  <c r="CB85" i="1"/>
  <c r="O83" i="1"/>
  <c r="AV83" i="1"/>
  <c r="CA84" i="1"/>
  <c r="CJ84" i="1" s="1"/>
  <c r="T85" i="1"/>
  <c r="CD85" i="1"/>
  <c r="BZ84" i="1"/>
  <c r="CC83" i="1"/>
  <c r="CC91" i="1"/>
  <c r="CD90" i="1"/>
  <c r="CA82" i="1"/>
  <c r="O90" i="1"/>
  <c r="R90" i="1" s="1"/>
  <c r="O91" i="1"/>
  <c r="T91" i="1" s="1"/>
  <c r="CD91" i="1"/>
  <c r="BZ91" i="1"/>
  <c r="CA91" i="1"/>
  <c r="CB81" i="1"/>
  <c r="CJ81" i="1" s="1"/>
  <c r="CB93" i="1"/>
  <c r="CB92" i="1"/>
  <c r="BQ82" i="1"/>
  <c r="BR82" i="1" s="1"/>
  <c r="U82" i="1"/>
  <c r="CE82" i="1"/>
  <c r="CD82" i="1"/>
  <c r="CB82" i="1"/>
  <c r="BZ82" i="1"/>
  <c r="O81" i="1"/>
  <c r="Y81" i="1"/>
  <c r="M81" i="1" s="1"/>
  <c r="CE81" i="1"/>
  <c r="CC81" i="1"/>
  <c r="BZ81" i="1"/>
  <c r="CD81" i="1"/>
  <c r="CB90" i="1"/>
  <c r="CD93" i="1"/>
  <c r="CC92" i="1"/>
  <c r="T92" i="1"/>
  <c r="CA93" i="1"/>
  <c r="BQ92" i="1"/>
  <c r="BR92" i="1" s="1"/>
  <c r="U92" i="1"/>
  <c r="R92" i="1"/>
  <c r="CA90" i="1"/>
  <c r="BZ90" i="1"/>
  <c r="CC90" i="1"/>
  <c r="CA92" i="1"/>
  <c r="BZ92" i="1"/>
  <c r="BZ93" i="1"/>
  <c r="S93" i="1"/>
  <c r="R93" i="1"/>
  <c r="CC93" i="1"/>
  <c r="CE92" i="1"/>
  <c r="CB97" i="1"/>
  <c r="BQ97" i="1"/>
  <c r="BR97" i="1" s="1"/>
  <c r="U97" i="1"/>
  <c r="CA97" i="1"/>
  <c r="CD97" i="1"/>
  <c r="CC97" i="1"/>
  <c r="S97" i="1"/>
  <c r="R97" i="1"/>
  <c r="T97" i="1"/>
  <c r="CE97" i="1"/>
  <c r="CB101" i="1"/>
  <c r="CA101" i="1"/>
  <c r="CB99" i="1"/>
  <c r="BZ99" i="1"/>
  <c r="T98" i="1"/>
  <c r="S98" i="1"/>
  <c r="CA98" i="1"/>
  <c r="CE98" i="1"/>
  <c r="CC98" i="1"/>
  <c r="BZ98" i="1"/>
  <c r="CB98" i="1"/>
  <c r="CE99" i="1"/>
  <c r="CC99" i="1"/>
  <c r="CA99" i="1"/>
  <c r="T99" i="1"/>
  <c r="S99" i="1"/>
  <c r="M111" i="1"/>
  <c r="BQ111" i="1" s="1"/>
  <c r="BR111" i="1" s="1"/>
  <c r="CD101" i="1"/>
  <c r="BZ112" i="1"/>
  <c r="R112" i="1"/>
  <c r="BZ117" i="1"/>
  <c r="CE101" i="1"/>
  <c r="O101" i="1"/>
  <c r="Y101" i="1"/>
  <c r="CC101" i="1"/>
  <c r="T100" i="1"/>
  <c r="S100" i="1"/>
  <c r="CE100" i="1"/>
  <c r="CC100" i="1"/>
  <c r="CA100" i="1"/>
  <c r="R100" i="1"/>
  <c r="BZ100" i="1"/>
  <c r="CB100" i="1"/>
  <c r="CA111" i="1"/>
  <c r="CE111" i="1"/>
  <c r="CA112" i="1"/>
  <c r="CJ112" i="1" s="1"/>
  <c r="M114" i="1"/>
  <c r="BQ114" i="1" s="1"/>
  <c r="BR114" i="1" s="1"/>
  <c r="J114" i="11"/>
  <c r="CC111" i="1"/>
  <c r="M116" i="1"/>
  <c r="U116" i="1" s="1"/>
  <c r="J116" i="11"/>
  <c r="M119" i="1"/>
  <c r="BQ119" i="1" s="1"/>
  <c r="BR119" i="1" s="1"/>
  <c r="J119" i="11"/>
  <c r="CB111" i="1"/>
  <c r="T112" i="1"/>
  <c r="M110" i="1"/>
  <c r="BQ110" i="1" s="1"/>
  <c r="BR110" i="1" s="1"/>
  <c r="J110" i="11"/>
  <c r="M118" i="1"/>
  <c r="U118" i="1" s="1"/>
  <c r="J118" i="11"/>
  <c r="M117" i="1"/>
  <c r="BQ117" i="1" s="1"/>
  <c r="BR117" i="1" s="1"/>
  <c r="J117" i="11"/>
  <c r="M112" i="1"/>
  <c r="BQ112" i="1" s="1"/>
  <c r="BR112" i="1" s="1"/>
  <c r="M115" i="1"/>
  <c r="U115" i="1" s="1"/>
  <c r="J115" i="11"/>
  <c r="M120" i="1"/>
  <c r="BQ120" i="1" s="1"/>
  <c r="BR120" i="1" s="1"/>
  <c r="J120" i="11"/>
  <c r="BZ111" i="1"/>
  <c r="CB115" i="1"/>
  <c r="M113" i="1"/>
  <c r="BQ113" i="1" s="1"/>
  <c r="BR113" i="1" s="1"/>
  <c r="J113" i="11"/>
  <c r="J111" i="11"/>
  <c r="CD110" i="1"/>
  <c r="CE110" i="1"/>
  <c r="CA110" i="1"/>
  <c r="CJ110" i="1" s="1"/>
  <c r="R110" i="1"/>
  <c r="S111" i="1"/>
  <c r="R111" i="1"/>
  <c r="T110" i="1"/>
  <c r="CC110" i="1"/>
  <c r="BZ110" i="1"/>
  <c r="CE112" i="1"/>
  <c r="CD112" i="1"/>
  <c r="R115" i="1"/>
  <c r="CA118" i="1"/>
  <c r="CJ118" i="1" s="1"/>
  <c r="CD113" i="1"/>
  <c r="R114" i="1"/>
  <c r="CA113" i="1"/>
  <c r="CJ113" i="1" s="1"/>
  <c r="CD114" i="1"/>
  <c r="S114" i="1"/>
  <c r="CB117" i="1"/>
  <c r="R113" i="1"/>
  <c r="BZ113" i="1"/>
  <c r="T113" i="1"/>
  <c r="T115" i="1"/>
  <c r="CC112" i="1"/>
  <c r="CC113" i="1"/>
  <c r="CE113" i="1"/>
  <c r="CE115" i="1"/>
  <c r="CC115" i="1"/>
  <c r="CA115" i="1"/>
  <c r="BZ115" i="1"/>
  <c r="CE114" i="1"/>
  <c r="CA114" i="1"/>
  <c r="CB114" i="1"/>
  <c r="BZ114" i="1"/>
  <c r="CC117" i="1"/>
  <c r="CD118" i="1"/>
  <c r="S116" i="1"/>
  <c r="R116" i="1"/>
  <c r="T117" i="1"/>
  <c r="S117" i="1"/>
  <c r="CE117" i="1"/>
  <c r="CA117" i="1"/>
  <c r="CE116" i="1"/>
  <c r="CA116" i="1"/>
  <c r="CD116" i="1"/>
  <c r="CB116" i="1"/>
  <c r="BZ116" i="1"/>
  <c r="R119" i="1"/>
  <c r="CB120" i="1"/>
  <c r="CA119" i="1"/>
  <c r="T118" i="1"/>
  <c r="S118" i="1"/>
  <c r="R118" i="1"/>
  <c r="CE118" i="1"/>
  <c r="CC118" i="1"/>
  <c r="BZ118" i="1"/>
  <c r="CB119" i="1"/>
  <c r="BZ119" i="1"/>
  <c r="CD119" i="1"/>
  <c r="S120" i="1"/>
  <c r="R120" i="1"/>
  <c r="T119" i="1"/>
  <c r="T120" i="1"/>
  <c r="CA120" i="1"/>
  <c r="BZ120" i="1"/>
  <c r="CE120" i="1"/>
  <c r="CC120" i="1"/>
  <c r="CE119" i="1"/>
  <c r="CG104" i="1"/>
  <c r="CH42" i="1"/>
  <c r="CG122" i="1"/>
  <c r="CH61" i="1"/>
  <c r="CH104" i="1"/>
  <c r="CH122" i="1"/>
  <c r="CH80" i="1"/>
  <c r="CG123" i="1"/>
  <c r="CG42" i="1"/>
  <c r="CH123" i="1"/>
  <c r="CG80" i="1"/>
  <c r="CG61" i="1"/>
  <c r="U93" i="1" l="1"/>
  <c r="BQ98" i="1"/>
  <c r="BR98" i="1" s="1"/>
  <c r="J85" i="11"/>
  <c r="CJ83" i="1"/>
  <c r="BQ84" i="1"/>
  <c r="BR84" i="1" s="1"/>
  <c r="J39" i="17"/>
  <c r="J38" i="17"/>
  <c r="U84" i="1"/>
  <c r="L37" i="17"/>
  <c r="L36" i="17"/>
  <c r="L35" i="17"/>
  <c r="R84" i="1"/>
  <c r="L38" i="17"/>
  <c r="L39" i="17"/>
  <c r="T84" i="1"/>
  <c r="J84" i="11"/>
  <c r="CJ102" i="1"/>
  <c r="BQ85" i="1"/>
  <c r="BR85" i="1" s="1"/>
  <c r="J40" i="17"/>
  <c r="J41" i="17"/>
  <c r="U100" i="1"/>
  <c r="CJ88" i="1"/>
  <c r="U99" i="1"/>
  <c r="U85" i="1"/>
  <c r="M101" i="1"/>
  <c r="BQ101" i="1" s="1"/>
  <c r="BR101" i="1" s="1"/>
  <c r="J101" i="11"/>
  <c r="BQ103" i="1"/>
  <c r="BR103" i="1" s="1"/>
  <c r="M90" i="1"/>
  <c r="J90" i="11"/>
  <c r="CI88" i="1"/>
  <c r="BQ88" i="1"/>
  <c r="BR88" i="1" s="1"/>
  <c r="U88" i="1"/>
  <c r="M102" i="1"/>
  <c r="U102" i="1" s="1"/>
  <c r="J102" i="11"/>
  <c r="S90" i="1"/>
  <c r="M83" i="1"/>
  <c r="J83" i="11"/>
  <c r="CJ103" i="1"/>
  <c r="CF88" i="1"/>
  <c r="CJ89" i="1"/>
  <c r="T90" i="1"/>
  <c r="CI85" i="1"/>
  <c r="CI102" i="1"/>
  <c r="CF102" i="1"/>
  <c r="CI103" i="1"/>
  <c r="CF103" i="1"/>
  <c r="S102" i="1"/>
  <c r="T102" i="1"/>
  <c r="R102" i="1"/>
  <c r="CF89" i="1"/>
  <c r="CI89" i="1"/>
  <c r="CF83" i="1"/>
  <c r="U91" i="1"/>
  <c r="CI83" i="1"/>
  <c r="CJ82" i="1"/>
  <c r="CF85" i="1"/>
  <c r="S82" i="1"/>
  <c r="R82" i="1"/>
  <c r="T83" i="1"/>
  <c r="S83" i="1"/>
  <c r="R83" i="1"/>
  <c r="CI84" i="1"/>
  <c r="CF84" i="1"/>
  <c r="CJ85" i="1"/>
  <c r="CJ97" i="1"/>
  <c r="CJ93" i="1"/>
  <c r="R91" i="1"/>
  <c r="CI91" i="1"/>
  <c r="S91" i="1"/>
  <c r="CF91" i="1"/>
  <c r="CJ92" i="1"/>
  <c r="CJ91" i="1"/>
  <c r="CF81" i="1"/>
  <c r="CI81" i="1"/>
  <c r="CI82" i="1"/>
  <c r="CF82" i="1"/>
  <c r="BQ81" i="1"/>
  <c r="BR81" i="1" s="1"/>
  <c r="U81" i="1"/>
  <c r="T81" i="1"/>
  <c r="S81" i="1"/>
  <c r="R81" i="1"/>
  <c r="CI93" i="1"/>
  <c r="CF93" i="1"/>
  <c r="CI92" i="1"/>
  <c r="CF92" i="1"/>
  <c r="CI90" i="1"/>
  <c r="CF90" i="1"/>
  <c r="CJ90" i="1"/>
  <c r="CI97" i="1"/>
  <c r="CJ101" i="1"/>
  <c r="CI101" i="1"/>
  <c r="CF97" i="1"/>
  <c r="U120" i="1"/>
  <c r="CJ99" i="1"/>
  <c r="CI98" i="1"/>
  <c r="CF98" i="1"/>
  <c r="CJ98" i="1"/>
  <c r="CF99" i="1"/>
  <c r="CI99" i="1"/>
  <c r="U112" i="1"/>
  <c r="U111" i="1"/>
  <c r="CF101" i="1"/>
  <c r="CJ100" i="1"/>
  <c r="U113" i="1"/>
  <c r="S101" i="1"/>
  <c r="R101" i="1"/>
  <c r="T101" i="1"/>
  <c r="CI100" i="1"/>
  <c r="CF100" i="1"/>
  <c r="CJ111" i="1"/>
  <c r="BQ115" i="1"/>
  <c r="BR115" i="1" s="1"/>
  <c r="CI111" i="1"/>
  <c r="U119" i="1"/>
  <c r="CJ115" i="1"/>
  <c r="U110" i="1"/>
  <c r="BQ118" i="1"/>
  <c r="BR118" i="1" s="1"/>
  <c r="U117" i="1"/>
  <c r="BQ116" i="1"/>
  <c r="BR116" i="1" s="1"/>
  <c r="CI112" i="1"/>
  <c r="CF111" i="1"/>
  <c r="U114" i="1"/>
  <c r="CF112" i="1"/>
  <c r="CI110" i="1"/>
  <c r="CF110" i="1"/>
  <c r="CJ119" i="1"/>
  <c r="CJ117" i="1"/>
  <c r="CJ114" i="1"/>
  <c r="CI113" i="1"/>
  <c r="CF113" i="1"/>
  <c r="CI115" i="1"/>
  <c r="CF115" i="1"/>
  <c r="CI114" i="1"/>
  <c r="CF114" i="1"/>
  <c r="CJ116" i="1"/>
  <c r="CJ120" i="1"/>
  <c r="CF117" i="1"/>
  <c r="CI117" i="1"/>
  <c r="CI116" i="1"/>
  <c r="CF116" i="1"/>
  <c r="CF119" i="1"/>
  <c r="CI118" i="1"/>
  <c r="CF118" i="1"/>
  <c r="CI119" i="1"/>
  <c r="CF120" i="1"/>
  <c r="CI120" i="1"/>
  <c r="P175" i="1"/>
  <c r="P138" i="1"/>
  <c r="BQ83" i="1" l="1"/>
  <c r="BR83" i="1" s="1"/>
  <c r="J37" i="17"/>
  <c r="J36" i="17"/>
  <c r="J35" i="17"/>
  <c r="U101" i="1"/>
  <c r="U83" i="1"/>
  <c r="BQ102" i="1"/>
  <c r="BR102" i="1" s="1"/>
  <c r="BQ90" i="1"/>
  <c r="BR90" i="1" s="1"/>
  <c r="U90" i="1"/>
  <c r="L122" i="1"/>
  <c r="L104" i="1"/>
  <c r="L80" i="1"/>
  <c r="L61" i="1"/>
  <c r="L42" i="1"/>
  <c r="S45" i="1"/>
  <c r="S44" i="1"/>
  <c r="S41" i="1"/>
  <c r="S40" i="1"/>
  <c r="S26" i="1"/>
  <c r="S25" i="1"/>
  <c r="S24" i="1"/>
  <c r="S22" i="1"/>
  <c r="L123" i="1" l="1"/>
  <c r="S119" i="6"/>
  <c r="R119" i="6"/>
  <c r="Q119" i="6"/>
  <c r="P119" i="6"/>
  <c r="O119" i="6"/>
  <c r="M119" i="6"/>
  <c r="K119" i="6"/>
  <c r="I119" i="6"/>
  <c r="H119" i="6"/>
  <c r="G119" i="6"/>
  <c r="F119" i="6"/>
  <c r="E119" i="6"/>
  <c r="D119" i="6"/>
  <c r="C119" i="6"/>
  <c r="B119" i="6"/>
  <c r="A119" i="6"/>
  <c r="A102" i="6"/>
  <c r="B102" i="6"/>
  <c r="C102" i="6"/>
  <c r="D102" i="6"/>
  <c r="E102" i="6"/>
  <c r="F102" i="6"/>
  <c r="G102" i="6"/>
  <c r="H102" i="6"/>
  <c r="I102" i="6"/>
  <c r="K102" i="6"/>
  <c r="M102" i="6"/>
  <c r="O102" i="6"/>
  <c r="P102" i="6"/>
  <c r="Q102" i="6"/>
  <c r="R102" i="6"/>
  <c r="S102" i="6"/>
  <c r="A45" i="6"/>
  <c r="B45" i="6"/>
  <c r="C45" i="6"/>
  <c r="D45" i="6"/>
  <c r="E45" i="6"/>
  <c r="F45" i="6"/>
  <c r="G45" i="6"/>
  <c r="H45" i="6"/>
  <c r="I45" i="6"/>
  <c r="K45" i="6"/>
  <c r="M45" i="6"/>
  <c r="O45" i="6"/>
  <c r="P45" i="6"/>
  <c r="Q45" i="6"/>
  <c r="R45" i="6"/>
  <c r="S45" i="6"/>
  <c r="A26" i="6"/>
  <c r="B26" i="6"/>
  <c r="C26" i="6"/>
  <c r="D26" i="6"/>
  <c r="E26" i="6"/>
  <c r="F26" i="6"/>
  <c r="G26" i="6"/>
  <c r="H26" i="6"/>
  <c r="I26" i="6"/>
  <c r="K26" i="6"/>
  <c r="M26" i="6"/>
  <c r="O26" i="6"/>
  <c r="P26" i="6"/>
  <c r="Q26" i="6"/>
  <c r="R26" i="6"/>
  <c r="S26" i="6"/>
  <c r="Q45" i="11"/>
  <c r="CK45" i="1" s="1"/>
  <c r="R45" i="11"/>
  <c r="CL45" i="1" s="1"/>
  <c r="S45" i="11"/>
  <c r="CM45" i="1" s="1"/>
  <c r="K45" i="11"/>
  <c r="M45" i="11"/>
  <c r="O45" i="11"/>
  <c r="P45" i="11"/>
  <c r="A45" i="11"/>
  <c r="B45" i="11"/>
  <c r="C45" i="11"/>
  <c r="D45" i="11"/>
  <c r="E45" i="11"/>
  <c r="F45" i="11"/>
  <c r="G45" i="11"/>
  <c r="H45" i="11"/>
  <c r="I45" i="11"/>
  <c r="Q26" i="11"/>
  <c r="CK26" i="1" s="1"/>
  <c r="R26" i="11"/>
  <c r="CL26" i="1" s="1"/>
  <c r="S26" i="11"/>
  <c r="CM26" i="1" s="1"/>
  <c r="K26" i="11"/>
  <c r="M26" i="11"/>
  <c r="O26" i="11"/>
  <c r="P26" i="11"/>
  <c r="B26" i="11"/>
  <c r="C26" i="11"/>
  <c r="D26" i="11"/>
  <c r="E26" i="11"/>
  <c r="F26" i="11"/>
  <c r="G26" i="11"/>
  <c r="H26" i="11"/>
  <c r="I26" i="11"/>
  <c r="AX108" i="1"/>
  <c r="AW108" i="1" s="1"/>
  <c r="AV108" i="1" s="1"/>
  <c r="AA108" i="1"/>
  <c r="Q108" i="1"/>
  <c r="N108" i="1"/>
  <c r="BW108" i="1" s="1"/>
  <c r="AX45" i="1"/>
  <c r="AW45" i="1" s="1"/>
  <c r="N45" i="1"/>
  <c r="BW45" i="1" s="1"/>
  <c r="Q45" i="1"/>
  <c r="AA45" i="1"/>
  <c r="Z45" i="1" s="1"/>
  <c r="AX26" i="1"/>
  <c r="AW26" i="1" s="1"/>
  <c r="AV26" i="1" s="1"/>
  <c r="AA26" i="1"/>
  <c r="Q26" i="1"/>
  <c r="N26" i="1"/>
  <c r="BW26" i="1" s="1"/>
  <c r="AX40" i="1"/>
  <c r="AX41" i="1"/>
  <c r="AA40" i="1"/>
  <c r="AA41" i="1"/>
  <c r="N40" i="1"/>
  <c r="BW40" i="1" s="1"/>
  <c r="Q40" i="1"/>
  <c r="N41" i="1"/>
  <c r="BW41" i="1" s="1"/>
  <c r="Q41" i="1"/>
  <c r="M46" i="17"/>
  <c r="I46" i="17"/>
  <c r="I42" i="17"/>
  <c r="K42" i="17"/>
  <c r="L42" i="17"/>
  <c r="M42" i="17"/>
  <c r="N42" i="17"/>
  <c r="J42" i="17"/>
  <c r="Q36" i="17"/>
  <c r="R36" i="17"/>
  <c r="S36" i="17"/>
  <c r="Q37" i="17"/>
  <c r="R37" i="17"/>
  <c r="S37" i="17"/>
  <c r="Q38" i="17"/>
  <c r="R38" i="17"/>
  <c r="S38" i="17"/>
  <c r="Q39" i="17"/>
  <c r="R39" i="17"/>
  <c r="S39" i="17"/>
  <c r="M34" i="17"/>
  <c r="I34" i="17"/>
  <c r="P42" i="17"/>
  <c r="O42" i="17"/>
  <c r="N354" i="8"/>
  <c r="O354" i="8"/>
  <c r="P354" i="8"/>
  <c r="Q354" i="8"/>
  <c r="R354" i="8"/>
  <c r="S354" i="8"/>
  <c r="T354" i="8"/>
  <c r="U354" i="8"/>
  <c r="V354" i="8"/>
  <c r="W354" i="8"/>
  <c r="X354" i="8"/>
  <c r="Y354" i="8"/>
  <c r="Z354" i="8"/>
  <c r="AA354" i="8"/>
  <c r="AB354" i="8"/>
  <c r="AC354" i="8"/>
  <c r="AD354" i="8"/>
  <c r="AE354" i="8"/>
  <c r="AF354" i="8"/>
  <c r="AG354" i="8"/>
  <c r="AH354" i="8"/>
  <c r="AI354" i="8"/>
  <c r="AJ354" i="8"/>
  <c r="AK354" i="8"/>
  <c r="AL354" i="8"/>
  <c r="AM354" i="8"/>
  <c r="AN354" i="8"/>
  <c r="AO354" i="8"/>
  <c r="AP354" i="8"/>
  <c r="AQ354" i="8"/>
  <c r="AR354" i="8"/>
  <c r="AS354" i="8"/>
  <c r="N355" i="8"/>
  <c r="O355" i="8"/>
  <c r="P355" i="8"/>
  <c r="Q355" i="8"/>
  <c r="R355" i="8"/>
  <c r="S355" i="8"/>
  <c r="T355" i="8"/>
  <c r="U355" i="8"/>
  <c r="V355" i="8"/>
  <c r="W355" i="8"/>
  <c r="X355" i="8"/>
  <c r="Y355" i="8"/>
  <c r="Z355" i="8"/>
  <c r="AA355" i="8"/>
  <c r="AB355" i="8"/>
  <c r="AC355" i="8"/>
  <c r="AD355" i="8"/>
  <c r="AE355" i="8"/>
  <c r="AF355" i="8"/>
  <c r="AG355" i="8"/>
  <c r="AH355" i="8"/>
  <c r="AI355" i="8"/>
  <c r="AJ355" i="8"/>
  <c r="AK355" i="8"/>
  <c r="AL355" i="8"/>
  <c r="AM355" i="8"/>
  <c r="AN355" i="8"/>
  <c r="AO355" i="8"/>
  <c r="AP355" i="8"/>
  <c r="AQ355" i="8"/>
  <c r="AR355" i="8"/>
  <c r="AS355" i="8"/>
  <c r="M354" i="8"/>
  <c r="M355" i="8"/>
  <c r="Q31" i="17"/>
  <c r="R31" i="17"/>
  <c r="S31" i="17"/>
  <c r="Q32" i="17"/>
  <c r="R32" i="17"/>
  <c r="S32" i="17"/>
  <c r="I29" i="17"/>
  <c r="P29" i="17"/>
  <c r="O29" i="17"/>
  <c r="Q28" i="17"/>
  <c r="R28" i="17"/>
  <c r="S28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AI24" i="17"/>
  <c r="AJ24" i="17"/>
  <c r="AK24" i="17"/>
  <c r="AL24" i="17"/>
  <c r="AM24" i="17"/>
  <c r="AN24" i="17"/>
  <c r="AO24" i="17"/>
  <c r="AP24" i="17"/>
  <c r="AQ24" i="17"/>
  <c r="AR24" i="17"/>
  <c r="AS24" i="17"/>
  <c r="AT24" i="17"/>
  <c r="AU24" i="17"/>
  <c r="AV24" i="17"/>
  <c r="AW24" i="17"/>
  <c r="AX24" i="17"/>
  <c r="AY24" i="17"/>
  <c r="AZ24" i="17"/>
  <c r="BA24" i="17"/>
  <c r="BB24" i="17"/>
  <c r="BC24" i="17"/>
  <c r="BG24" i="17"/>
  <c r="BH24" i="17"/>
  <c r="BI24" i="17"/>
  <c r="BJ24" i="17"/>
  <c r="BK24" i="17"/>
  <c r="BL24" i="17"/>
  <c r="BM24" i="17"/>
  <c r="BN24" i="17"/>
  <c r="BO24" i="17"/>
  <c r="BP24" i="17"/>
  <c r="I24" i="17"/>
  <c r="H24" i="17"/>
  <c r="G24" i="17"/>
  <c r="F24" i="17"/>
  <c r="E24" i="17"/>
  <c r="D24" i="17"/>
  <c r="C24" i="17"/>
  <c r="B24" i="17"/>
  <c r="S23" i="17"/>
  <c r="R23" i="17"/>
  <c r="Q23" i="17"/>
  <c r="BP46" i="17"/>
  <c r="BO46" i="17"/>
  <c r="BN46" i="17"/>
  <c r="BM46" i="17"/>
  <c r="BL46" i="17"/>
  <c r="BK46" i="17"/>
  <c r="BJ46" i="17"/>
  <c r="BI46" i="17"/>
  <c r="BH46" i="17"/>
  <c r="BG46" i="17"/>
  <c r="BC46" i="17"/>
  <c r="BB46" i="17"/>
  <c r="BA46" i="17"/>
  <c r="AZ46" i="17"/>
  <c r="AY46" i="17"/>
  <c r="AX46" i="17"/>
  <c r="AW46" i="17"/>
  <c r="AV46" i="17"/>
  <c r="AU46" i="17"/>
  <c r="AT46" i="17"/>
  <c r="AS46" i="17"/>
  <c r="AR46" i="17"/>
  <c r="AQ46" i="17"/>
  <c r="AP46" i="17"/>
  <c r="AO46" i="17"/>
  <c r="AN46" i="17"/>
  <c r="AM46" i="17"/>
  <c r="AL46" i="17"/>
  <c r="AK46" i="17"/>
  <c r="AJ46" i="17"/>
  <c r="AI46" i="17"/>
  <c r="AH46" i="17"/>
  <c r="AG46" i="17"/>
  <c r="AF46" i="17"/>
  <c r="AE46" i="17"/>
  <c r="AD46" i="17"/>
  <c r="AC46" i="17"/>
  <c r="AB46" i="17"/>
  <c r="AA46" i="17"/>
  <c r="Z46" i="17"/>
  <c r="Y46" i="17"/>
  <c r="X46" i="17"/>
  <c r="W46" i="17"/>
  <c r="V46" i="17"/>
  <c r="U46" i="17"/>
  <c r="S45" i="17"/>
  <c r="R45" i="17"/>
  <c r="Q45" i="17"/>
  <c r="S44" i="17"/>
  <c r="R44" i="17"/>
  <c r="Q44" i="17"/>
  <c r="S43" i="17"/>
  <c r="R43" i="17"/>
  <c r="Q43" i="17"/>
  <c r="BP42" i="17"/>
  <c r="BO42" i="17"/>
  <c r="BN42" i="17"/>
  <c r="BM42" i="17"/>
  <c r="BL42" i="17"/>
  <c r="BK42" i="17"/>
  <c r="BJ42" i="17"/>
  <c r="BI42" i="17"/>
  <c r="BH42" i="17"/>
  <c r="BG42" i="17"/>
  <c r="BC42" i="17"/>
  <c r="BB42" i="17"/>
  <c r="BA42" i="17"/>
  <c r="AZ42" i="17"/>
  <c r="AY42" i="17"/>
  <c r="AX42" i="17"/>
  <c r="AW42" i="17"/>
  <c r="AV42" i="17"/>
  <c r="AU42" i="17"/>
  <c r="AT42" i="17"/>
  <c r="AS42" i="17"/>
  <c r="AR42" i="17"/>
  <c r="AQ42" i="17"/>
  <c r="AP42" i="17"/>
  <c r="AO42" i="17"/>
  <c r="AN42" i="17"/>
  <c r="AM42" i="17"/>
  <c r="AL42" i="17"/>
  <c r="AK42" i="17"/>
  <c r="AJ42" i="17"/>
  <c r="AI42" i="17"/>
  <c r="AH42" i="17"/>
  <c r="AG42" i="17"/>
  <c r="AF42" i="17"/>
  <c r="AE42" i="17"/>
  <c r="AD42" i="17"/>
  <c r="AC42" i="17"/>
  <c r="AB42" i="17"/>
  <c r="AA42" i="17"/>
  <c r="Z42" i="17"/>
  <c r="Y42" i="17"/>
  <c r="X42" i="17"/>
  <c r="W42" i="17"/>
  <c r="V42" i="17"/>
  <c r="U42" i="17"/>
  <c r="S41" i="17"/>
  <c r="R41" i="17"/>
  <c r="Q41" i="17"/>
  <c r="S40" i="17"/>
  <c r="R40" i="17"/>
  <c r="Q40" i="17"/>
  <c r="S35" i="17"/>
  <c r="R35" i="17"/>
  <c r="Q35" i="17"/>
  <c r="BP34" i="17"/>
  <c r="BO34" i="17"/>
  <c r="BN34" i="17"/>
  <c r="BM34" i="17"/>
  <c r="BL34" i="17"/>
  <c r="BK34" i="17"/>
  <c r="BJ34" i="17"/>
  <c r="BI34" i="17"/>
  <c r="BH34" i="17"/>
  <c r="BG34" i="17"/>
  <c r="BC34" i="17"/>
  <c r="BB34" i="17"/>
  <c r="BA34" i="17"/>
  <c r="AZ34" i="17"/>
  <c r="AY34" i="17"/>
  <c r="AX34" i="17"/>
  <c r="AW34" i="17"/>
  <c r="AV34" i="17"/>
  <c r="AU34" i="17"/>
  <c r="AT34" i="17"/>
  <c r="AS34" i="17"/>
  <c r="AR34" i="17"/>
  <c r="AQ34" i="17"/>
  <c r="AP34" i="17"/>
  <c r="AO34" i="17"/>
  <c r="AN34" i="17"/>
  <c r="AM34" i="17"/>
  <c r="AL34" i="17"/>
  <c r="AK34" i="17"/>
  <c r="AJ34" i="17"/>
  <c r="AI34" i="17"/>
  <c r="AH34" i="17"/>
  <c r="AG34" i="17"/>
  <c r="AF34" i="17"/>
  <c r="AE34" i="17"/>
  <c r="AD34" i="17"/>
  <c r="AC34" i="17"/>
  <c r="AB34" i="17"/>
  <c r="AA34" i="17"/>
  <c r="Z34" i="17"/>
  <c r="Y34" i="17"/>
  <c r="X34" i="17"/>
  <c r="W34" i="17"/>
  <c r="V34" i="17"/>
  <c r="U34" i="17"/>
  <c r="S33" i="17"/>
  <c r="R33" i="17"/>
  <c r="Q33" i="17"/>
  <c r="S30" i="17"/>
  <c r="R30" i="17"/>
  <c r="Q30" i="17"/>
  <c r="S27" i="17"/>
  <c r="R27" i="17"/>
  <c r="Q27" i="17"/>
  <c r="S22" i="17"/>
  <c r="R22" i="17"/>
  <c r="Q22" i="17"/>
  <c r="S20" i="17"/>
  <c r="R20" i="17"/>
  <c r="Q20" i="17"/>
  <c r="AS328" i="8"/>
  <c r="N328" i="8"/>
  <c r="O328" i="8"/>
  <c r="P328" i="8"/>
  <c r="Q328" i="8"/>
  <c r="R328" i="8"/>
  <c r="S328" i="8"/>
  <c r="T328" i="8"/>
  <c r="U328" i="8"/>
  <c r="V328" i="8"/>
  <c r="W328" i="8"/>
  <c r="X328" i="8"/>
  <c r="Y328" i="8"/>
  <c r="Z328" i="8"/>
  <c r="AA328" i="8"/>
  <c r="AB328" i="8"/>
  <c r="AC328" i="8"/>
  <c r="AD328" i="8"/>
  <c r="AE328" i="8"/>
  <c r="AF328" i="8"/>
  <c r="AG328" i="8"/>
  <c r="AH328" i="8"/>
  <c r="AI328" i="8"/>
  <c r="AJ328" i="8"/>
  <c r="AK328" i="8"/>
  <c r="AL328" i="8"/>
  <c r="AM328" i="8"/>
  <c r="AN328" i="8"/>
  <c r="AO328" i="8"/>
  <c r="AP328" i="8"/>
  <c r="AQ328" i="8"/>
  <c r="AR328" i="8"/>
  <c r="M328" i="8"/>
  <c r="N327" i="8"/>
  <c r="O327" i="8"/>
  <c r="P327" i="8"/>
  <c r="Q327" i="8"/>
  <c r="R327" i="8"/>
  <c r="S327" i="8"/>
  <c r="T327" i="8"/>
  <c r="U327" i="8"/>
  <c r="V327" i="8"/>
  <c r="W327" i="8"/>
  <c r="X327" i="8"/>
  <c r="Y327" i="8"/>
  <c r="Z327" i="8"/>
  <c r="AA327" i="8"/>
  <c r="AB327" i="8"/>
  <c r="AC327" i="8"/>
  <c r="AD327" i="8"/>
  <c r="AE327" i="8"/>
  <c r="AF327" i="8"/>
  <c r="AG327" i="8"/>
  <c r="AH327" i="8"/>
  <c r="AI327" i="8"/>
  <c r="AJ327" i="8"/>
  <c r="AK327" i="8"/>
  <c r="AL327" i="8"/>
  <c r="AM327" i="8"/>
  <c r="AN327" i="8"/>
  <c r="AO327" i="8"/>
  <c r="AP327" i="8"/>
  <c r="AQ327" i="8"/>
  <c r="AR327" i="8"/>
  <c r="M327" i="8"/>
  <c r="AL131" i="1"/>
  <c r="N294" i="8"/>
  <c r="O294" i="8"/>
  <c r="P294" i="8"/>
  <c r="Q294" i="8"/>
  <c r="R294" i="8"/>
  <c r="S294" i="8"/>
  <c r="T294" i="8"/>
  <c r="U294" i="8"/>
  <c r="V294" i="8"/>
  <c r="W294" i="8"/>
  <c r="X294" i="8"/>
  <c r="Y294" i="8"/>
  <c r="Z294" i="8"/>
  <c r="AA294" i="8"/>
  <c r="AB294" i="8"/>
  <c r="AC294" i="8"/>
  <c r="AD294" i="8"/>
  <c r="AE294" i="8"/>
  <c r="AF294" i="8"/>
  <c r="AG294" i="8"/>
  <c r="AH294" i="8"/>
  <c r="AI294" i="8"/>
  <c r="AJ294" i="8"/>
  <c r="AK294" i="8"/>
  <c r="AL294" i="8"/>
  <c r="AM294" i="8"/>
  <c r="AN294" i="8"/>
  <c r="AO294" i="8"/>
  <c r="AP294" i="8"/>
  <c r="AQ294" i="8"/>
  <c r="AR294" i="8"/>
  <c r="AS294" i="8"/>
  <c r="M294" i="8"/>
  <c r="AA63" i="1"/>
  <c r="Z63" i="1" s="1"/>
  <c r="Y63" i="1" s="1"/>
  <c r="N268" i="8"/>
  <c r="O268" i="8"/>
  <c r="P268" i="8"/>
  <c r="Q268" i="8"/>
  <c r="R268" i="8"/>
  <c r="S268" i="8"/>
  <c r="T268" i="8"/>
  <c r="U268" i="8"/>
  <c r="V268" i="8"/>
  <c r="W268" i="8"/>
  <c r="X268" i="8"/>
  <c r="Y268" i="8"/>
  <c r="Z268" i="8"/>
  <c r="AA268" i="8"/>
  <c r="AB268" i="8"/>
  <c r="AC268" i="8"/>
  <c r="AD268" i="8"/>
  <c r="AE268" i="8"/>
  <c r="AF268" i="8"/>
  <c r="AG268" i="8"/>
  <c r="AH268" i="8"/>
  <c r="AI268" i="8"/>
  <c r="AJ268" i="8"/>
  <c r="AK268" i="8"/>
  <c r="AL268" i="8"/>
  <c r="AM268" i="8"/>
  <c r="AN268" i="8"/>
  <c r="AO268" i="8"/>
  <c r="AP268" i="8"/>
  <c r="AQ268" i="8"/>
  <c r="AR268" i="8"/>
  <c r="AS268" i="8"/>
  <c r="M268" i="8"/>
  <c r="N247" i="8"/>
  <c r="O247" i="8"/>
  <c r="P247" i="8"/>
  <c r="Q247" i="8"/>
  <c r="R247" i="8"/>
  <c r="S247" i="8"/>
  <c r="T247" i="8"/>
  <c r="U247" i="8"/>
  <c r="V247" i="8"/>
  <c r="W247" i="8"/>
  <c r="X247" i="8"/>
  <c r="Y247" i="8"/>
  <c r="Z247" i="8"/>
  <c r="AA247" i="8"/>
  <c r="AB247" i="8"/>
  <c r="AC247" i="8"/>
  <c r="AD247" i="8"/>
  <c r="AE247" i="8"/>
  <c r="AF247" i="8"/>
  <c r="AG247" i="8"/>
  <c r="AH247" i="8"/>
  <c r="AI247" i="8"/>
  <c r="AJ247" i="8"/>
  <c r="AK247" i="8"/>
  <c r="AL247" i="8"/>
  <c r="AM247" i="8"/>
  <c r="AN247" i="8"/>
  <c r="AO247" i="8"/>
  <c r="AP247" i="8"/>
  <c r="AQ247" i="8"/>
  <c r="AR247" i="8"/>
  <c r="M247" i="8"/>
  <c r="Z40" i="1" l="1"/>
  <c r="N40" i="11"/>
  <c r="Z41" i="1"/>
  <c r="N41" i="11"/>
  <c r="Z108" i="1"/>
  <c r="L108" i="11" s="1"/>
  <c r="N108" i="11"/>
  <c r="BY45" i="1"/>
  <c r="CE45" i="1" s="1"/>
  <c r="BY41" i="1"/>
  <c r="CC41" i="1" s="1"/>
  <c r="BY40" i="1"/>
  <c r="CA40" i="1" s="1"/>
  <c r="BY108" i="1"/>
  <c r="CD108" i="1" s="1"/>
  <c r="BY26" i="1"/>
  <c r="CA26" i="1" s="1"/>
  <c r="Q46" i="17"/>
  <c r="L45" i="6"/>
  <c r="N26" i="11"/>
  <c r="N26" i="6"/>
  <c r="N45" i="11"/>
  <c r="N45" i="6"/>
  <c r="L45" i="11"/>
  <c r="N119" i="6"/>
  <c r="P108" i="1"/>
  <c r="L102" i="6"/>
  <c r="N102" i="6"/>
  <c r="P26" i="1"/>
  <c r="O45" i="1"/>
  <c r="R45" i="1" s="1"/>
  <c r="P45" i="1"/>
  <c r="AV45" i="1"/>
  <c r="Y45" i="1"/>
  <c r="P41" i="1"/>
  <c r="Z26" i="1"/>
  <c r="P40" i="1"/>
  <c r="AW41" i="1"/>
  <c r="AW40" i="1"/>
  <c r="P34" i="17"/>
  <c r="R46" i="17"/>
  <c r="M29" i="17"/>
  <c r="AK295" i="8"/>
  <c r="M24" i="17"/>
  <c r="Q24" i="17"/>
  <c r="Q34" i="17"/>
  <c r="S46" i="17"/>
  <c r="Q29" i="17"/>
  <c r="R34" i="17"/>
  <c r="R29" i="17"/>
  <c r="S34" i="17"/>
  <c r="S29" i="17"/>
  <c r="P47" i="17"/>
  <c r="S24" i="17"/>
  <c r="S47" i="17"/>
  <c r="M47" i="17"/>
  <c r="R47" i="17"/>
  <c r="Q47" i="17"/>
  <c r="Q42" i="17"/>
  <c r="R42" i="17"/>
  <c r="R24" i="17"/>
  <c r="S42" i="17"/>
  <c r="X295" i="8"/>
  <c r="AE138" i="1"/>
  <c r="AE139" i="1" s="1"/>
  <c r="AJ148" i="1"/>
  <c r="L41" i="11" l="1"/>
  <c r="Y41" i="1"/>
  <c r="Y40" i="1"/>
  <c r="L40" i="11"/>
  <c r="O108" i="1"/>
  <c r="S108" i="1" s="1"/>
  <c r="L119" i="6"/>
  <c r="Y108" i="1"/>
  <c r="J108" i="11" s="1"/>
  <c r="CA108" i="1"/>
  <c r="BZ108" i="1"/>
  <c r="CE108" i="1"/>
  <c r="CB108" i="1"/>
  <c r="CD45" i="1"/>
  <c r="CC108" i="1"/>
  <c r="CD26" i="1"/>
  <c r="BZ40" i="1"/>
  <c r="CD41" i="1"/>
  <c r="BZ45" i="1"/>
  <c r="CA45" i="1"/>
  <c r="CC45" i="1"/>
  <c r="CB26" i="1"/>
  <c r="CJ26" i="1" s="1"/>
  <c r="CD40" i="1"/>
  <c r="CE41" i="1"/>
  <c r="CB45" i="1"/>
  <c r="CE26" i="1"/>
  <c r="CC40" i="1"/>
  <c r="CB41" i="1"/>
  <c r="CB40" i="1"/>
  <c r="CJ40" i="1" s="1"/>
  <c r="BZ41" i="1"/>
  <c r="BZ26" i="1"/>
  <c r="CE40" i="1"/>
  <c r="CA41" i="1"/>
  <c r="CC26" i="1"/>
  <c r="AV41" i="1"/>
  <c r="L26" i="11"/>
  <c r="L26" i="6"/>
  <c r="J45" i="6"/>
  <c r="J45" i="11"/>
  <c r="J102" i="6"/>
  <c r="T45" i="1"/>
  <c r="M45" i="1"/>
  <c r="U45" i="1" s="1"/>
  <c r="O26" i="1"/>
  <c r="Y26" i="1"/>
  <c r="O41" i="1"/>
  <c r="O40" i="1"/>
  <c r="AV40" i="1"/>
  <c r="Q103" i="6"/>
  <c r="A121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20" i="6"/>
  <c r="A105" i="6"/>
  <c r="A105" i="11"/>
  <c r="U42" i="6"/>
  <c r="V42" i="6"/>
  <c r="W42" i="6"/>
  <c r="X42" i="6"/>
  <c r="Y42" i="6"/>
  <c r="Z42" i="6"/>
  <c r="AA42" i="6"/>
  <c r="AB42" i="6"/>
  <c r="AC42" i="6"/>
  <c r="AD42" i="6"/>
  <c r="AE42" i="6"/>
  <c r="AF42" i="6"/>
  <c r="AG42" i="6"/>
  <c r="AH42" i="6"/>
  <c r="AI42" i="6"/>
  <c r="AJ42" i="6"/>
  <c r="AK42" i="6"/>
  <c r="AL42" i="6"/>
  <c r="AM42" i="6"/>
  <c r="AN42" i="6"/>
  <c r="AO42" i="6"/>
  <c r="AP42" i="6"/>
  <c r="AQ42" i="6"/>
  <c r="AR42" i="6"/>
  <c r="AS42" i="6"/>
  <c r="AT42" i="6"/>
  <c r="AU42" i="6"/>
  <c r="AV42" i="6"/>
  <c r="AW42" i="6"/>
  <c r="AX42" i="6"/>
  <c r="AY42" i="6"/>
  <c r="AZ42" i="6"/>
  <c r="BA42" i="6"/>
  <c r="BB42" i="6"/>
  <c r="BC42" i="6"/>
  <c r="BG42" i="6"/>
  <c r="BH42" i="6"/>
  <c r="BI42" i="6"/>
  <c r="BJ42" i="6"/>
  <c r="BK42" i="6"/>
  <c r="BL42" i="6"/>
  <c r="BM42" i="6"/>
  <c r="BN42" i="6"/>
  <c r="BO42" i="6"/>
  <c r="BP42" i="6"/>
  <c r="T42" i="6"/>
  <c r="U123" i="6"/>
  <c r="V123" i="6"/>
  <c r="W123" i="6"/>
  <c r="X123" i="6"/>
  <c r="Y123" i="6"/>
  <c r="Z123" i="6"/>
  <c r="AA123" i="6"/>
  <c r="AB123" i="6"/>
  <c r="AC123" i="6"/>
  <c r="AD123" i="6"/>
  <c r="AE123" i="6"/>
  <c r="AF123" i="6"/>
  <c r="AG123" i="6"/>
  <c r="AH123" i="6"/>
  <c r="AI123" i="6"/>
  <c r="AJ123" i="6"/>
  <c r="AK123" i="6"/>
  <c r="AL123" i="6"/>
  <c r="AM123" i="6"/>
  <c r="AN123" i="6"/>
  <c r="AO123" i="6"/>
  <c r="AP123" i="6"/>
  <c r="AQ123" i="6"/>
  <c r="AR123" i="6"/>
  <c r="AS123" i="6"/>
  <c r="AT123" i="6"/>
  <c r="AU123" i="6"/>
  <c r="AV123" i="6"/>
  <c r="AW123" i="6"/>
  <c r="AX123" i="6"/>
  <c r="AY123" i="6"/>
  <c r="AZ123" i="6"/>
  <c r="BA123" i="6"/>
  <c r="BB123" i="6"/>
  <c r="BC123" i="6"/>
  <c r="BG123" i="6"/>
  <c r="BH123" i="6"/>
  <c r="BI123" i="6"/>
  <c r="BJ123" i="6"/>
  <c r="BK123" i="6"/>
  <c r="BL123" i="6"/>
  <c r="BM123" i="6"/>
  <c r="BN123" i="6"/>
  <c r="BO123" i="6"/>
  <c r="BP123" i="6"/>
  <c r="T123" i="6"/>
  <c r="U123" i="11"/>
  <c r="V123" i="11"/>
  <c r="W123" i="11"/>
  <c r="X123" i="11"/>
  <c r="Y123" i="11"/>
  <c r="Z123" i="11"/>
  <c r="AA123" i="11"/>
  <c r="AB123" i="11"/>
  <c r="AC123" i="11"/>
  <c r="AD123" i="11"/>
  <c r="AE123" i="11"/>
  <c r="AF123" i="11"/>
  <c r="AG123" i="11"/>
  <c r="AH123" i="11"/>
  <c r="AI123" i="11"/>
  <c r="AJ123" i="11"/>
  <c r="AK123" i="11"/>
  <c r="AL123" i="11"/>
  <c r="AM123" i="11"/>
  <c r="AN123" i="11"/>
  <c r="AO123" i="11"/>
  <c r="AP123" i="11"/>
  <c r="AQ123" i="11"/>
  <c r="AR123" i="11"/>
  <c r="AS123" i="11"/>
  <c r="AT123" i="11"/>
  <c r="AU123" i="11"/>
  <c r="AV123" i="11"/>
  <c r="AW123" i="11"/>
  <c r="AX123" i="11"/>
  <c r="AY123" i="11"/>
  <c r="AZ123" i="11"/>
  <c r="BA123" i="11"/>
  <c r="BB123" i="11"/>
  <c r="BC123" i="11"/>
  <c r="BG123" i="11"/>
  <c r="BH123" i="11"/>
  <c r="BI123" i="11"/>
  <c r="BJ123" i="11"/>
  <c r="BK123" i="11"/>
  <c r="BL123" i="11"/>
  <c r="BM123" i="11"/>
  <c r="BN123" i="11"/>
  <c r="BO123" i="11"/>
  <c r="BP123" i="11"/>
  <c r="T123" i="11"/>
  <c r="Q31" i="6"/>
  <c r="R31" i="6"/>
  <c r="S31" i="6"/>
  <c r="Q32" i="6"/>
  <c r="R32" i="6"/>
  <c r="S32" i="6"/>
  <c r="A31" i="6"/>
  <c r="B31" i="6"/>
  <c r="C31" i="6"/>
  <c r="D31" i="6"/>
  <c r="E31" i="6"/>
  <c r="F31" i="6"/>
  <c r="G31" i="6"/>
  <c r="H31" i="6"/>
  <c r="I31" i="6"/>
  <c r="K31" i="6"/>
  <c r="M31" i="6"/>
  <c r="O31" i="6"/>
  <c r="P31" i="6"/>
  <c r="A32" i="6"/>
  <c r="B32" i="6"/>
  <c r="C32" i="6"/>
  <c r="D32" i="6"/>
  <c r="E32" i="6"/>
  <c r="F32" i="6"/>
  <c r="G32" i="6"/>
  <c r="H32" i="6"/>
  <c r="I32" i="6"/>
  <c r="K32" i="6"/>
  <c r="M32" i="6"/>
  <c r="O32" i="6"/>
  <c r="P32" i="6"/>
  <c r="A33" i="6"/>
  <c r="B33" i="6"/>
  <c r="C33" i="6"/>
  <c r="D33" i="6"/>
  <c r="E33" i="6"/>
  <c r="F33" i="6"/>
  <c r="G33" i="6"/>
  <c r="H33" i="6"/>
  <c r="I33" i="6"/>
  <c r="K33" i="6"/>
  <c r="M33" i="6"/>
  <c r="O33" i="6"/>
  <c r="P33" i="6"/>
  <c r="A34" i="6"/>
  <c r="B34" i="6"/>
  <c r="C34" i="6"/>
  <c r="D34" i="6"/>
  <c r="E34" i="6"/>
  <c r="F34" i="6"/>
  <c r="G34" i="6"/>
  <c r="H34" i="6"/>
  <c r="I34" i="6"/>
  <c r="K34" i="6"/>
  <c r="M34" i="6"/>
  <c r="O34" i="6"/>
  <c r="P34" i="6"/>
  <c r="A35" i="6"/>
  <c r="B35" i="6"/>
  <c r="C35" i="6"/>
  <c r="D35" i="6"/>
  <c r="E35" i="6"/>
  <c r="F35" i="6"/>
  <c r="G35" i="6"/>
  <c r="H35" i="6"/>
  <c r="I35" i="6"/>
  <c r="K35" i="6"/>
  <c r="M35" i="6"/>
  <c r="O35" i="6"/>
  <c r="P35" i="6"/>
  <c r="A36" i="6"/>
  <c r="B36" i="6"/>
  <c r="C36" i="6"/>
  <c r="D36" i="6"/>
  <c r="E36" i="6"/>
  <c r="F36" i="6"/>
  <c r="G36" i="6"/>
  <c r="H36" i="6"/>
  <c r="I36" i="6"/>
  <c r="K36" i="6"/>
  <c r="M36" i="6"/>
  <c r="O36" i="6"/>
  <c r="P36" i="6"/>
  <c r="A37" i="6"/>
  <c r="B37" i="6"/>
  <c r="C37" i="6"/>
  <c r="D37" i="6"/>
  <c r="E37" i="6"/>
  <c r="F37" i="6"/>
  <c r="G37" i="6"/>
  <c r="H37" i="6"/>
  <c r="I37" i="6"/>
  <c r="K37" i="6"/>
  <c r="M37" i="6"/>
  <c r="O37" i="6"/>
  <c r="P37" i="6"/>
  <c r="A38" i="6"/>
  <c r="B38" i="6"/>
  <c r="C38" i="6"/>
  <c r="D38" i="6"/>
  <c r="E38" i="6"/>
  <c r="F38" i="6"/>
  <c r="G38" i="6"/>
  <c r="H38" i="6"/>
  <c r="I38" i="6"/>
  <c r="K38" i="6"/>
  <c r="M38" i="6"/>
  <c r="O38" i="6"/>
  <c r="P38" i="6"/>
  <c r="A39" i="6"/>
  <c r="B39" i="6"/>
  <c r="C39" i="6"/>
  <c r="D39" i="6"/>
  <c r="E39" i="6"/>
  <c r="F39" i="6"/>
  <c r="G39" i="6"/>
  <c r="H39" i="6"/>
  <c r="I39" i="6"/>
  <c r="K39" i="6"/>
  <c r="M39" i="6"/>
  <c r="O39" i="6"/>
  <c r="P39" i="6"/>
  <c r="A40" i="6"/>
  <c r="B40" i="6"/>
  <c r="C40" i="6"/>
  <c r="D40" i="6"/>
  <c r="E40" i="6"/>
  <c r="F40" i="6"/>
  <c r="G40" i="6"/>
  <c r="H40" i="6"/>
  <c r="I40" i="6"/>
  <c r="K40" i="6"/>
  <c r="M40" i="6"/>
  <c r="O40" i="6"/>
  <c r="P40" i="6"/>
  <c r="A41" i="6"/>
  <c r="B41" i="6"/>
  <c r="C41" i="6"/>
  <c r="D41" i="6"/>
  <c r="E41" i="6"/>
  <c r="F41" i="6"/>
  <c r="G41" i="6"/>
  <c r="H41" i="6"/>
  <c r="I41" i="6"/>
  <c r="K41" i="6"/>
  <c r="M41" i="6"/>
  <c r="O41" i="6"/>
  <c r="P41" i="6"/>
  <c r="A21" i="6"/>
  <c r="B21" i="6"/>
  <c r="C21" i="6"/>
  <c r="D21" i="6"/>
  <c r="E21" i="6"/>
  <c r="F21" i="6"/>
  <c r="G21" i="6"/>
  <c r="H21" i="6"/>
  <c r="I21" i="6"/>
  <c r="K21" i="6"/>
  <c r="M21" i="6"/>
  <c r="O21" i="6"/>
  <c r="P21" i="6"/>
  <c r="A22" i="6"/>
  <c r="B22" i="6"/>
  <c r="C22" i="6"/>
  <c r="D22" i="6"/>
  <c r="E22" i="6"/>
  <c r="F22" i="6"/>
  <c r="G22" i="6"/>
  <c r="H22" i="6"/>
  <c r="I22" i="6"/>
  <c r="K22" i="6"/>
  <c r="M22" i="6"/>
  <c r="O22" i="6"/>
  <c r="P22" i="6"/>
  <c r="A23" i="6"/>
  <c r="B23" i="6"/>
  <c r="C23" i="6"/>
  <c r="D23" i="6"/>
  <c r="E23" i="6"/>
  <c r="F23" i="6"/>
  <c r="G23" i="6"/>
  <c r="H23" i="6"/>
  <c r="I23" i="6"/>
  <c r="K23" i="6"/>
  <c r="M23" i="6"/>
  <c r="O23" i="6"/>
  <c r="P23" i="6"/>
  <c r="A24" i="6"/>
  <c r="B24" i="6"/>
  <c r="C24" i="6"/>
  <c r="D24" i="6"/>
  <c r="E24" i="6"/>
  <c r="F24" i="6"/>
  <c r="G24" i="6"/>
  <c r="H24" i="6"/>
  <c r="I24" i="6"/>
  <c r="K24" i="6"/>
  <c r="M24" i="6"/>
  <c r="O24" i="6"/>
  <c r="P24" i="6"/>
  <c r="A25" i="6"/>
  <c r="B25" i="6"/>
  <c r="C25" i="6"/>
  <c r="D25" i="6"/>
  <c r="E25" i="6"/>
  <c r="F25" i="6"/>
  <c r="G25" i="6"/>
  <c r="H25" i="6"/>
  <c r="I25" i="6"/>
  <c r="K25" i="6"/>
  <c r="M25" i="6"/>
  <c r="O25" i="6"/>
  <c r="P25" i="6"/>
  <c r="A27" i="6"/>
  <c r="B27" i="6"/>
  <c r="C27" i="6"/>
  <c r="D27" i="6"/>
  <c r="E27" i="6"/>
  <c r="F27" i="6"/>
  <c r="G27" i="6"/>
  <c r="H27" i="6"/>
  <c r="I27" i="6"/>
  <c r="K27" i="6"/>
  <c r="M27" i="6"/>
  <c r="O27" i="6"/>
  <c r="P27" i="6"/>
  <c r="A28" i="6"/>
  <c r="B28" i="6"/>
  <c r="C28" i="6"/>
  <c r="D28" i="6"/>
  <c r="E28" i="6"/>
  <c r="F28" i="6"/>
  <c r="G28" i="6"/>
  <c r="H28" i="6"/>
  <c r="I28" i="6"/>
  <c r="K28" i="6"/>
  <c r="M28" i="6"/>
  <c r="O28" i="6"/>
  <c r="P28" i="6"/>
  <c r="A29" i="6"/>
  <c r="B29" i="6"/>
  <c r="C29" i="6"/>
  <c r="D29" i="6"/>
  <c r="E29" i="6"/>
  <c r="F29" i="6"/>
  <c r="G29" i="6"/>
  <c r="H29" i="6"/>
  <c r="I29" i="6"/>
  <c r="K29" i="6"/>
  <c r="M29" i="6"/>
  <c r="O29" i="6"/>
  <c r="P29" i="6"/>
  <c r="A30" i="6"/>
  <c r="B30" i="6"/>
  <c r="C30" i="6"/>
  <c r="D30" i="6"/>
  <c r="E30" i="6"/>
  <c r="F30" i="6"/>
  <c r="G30" i="6"/>
  <c r="H30" i="6"/>
  <c r="I30" i="6"/>
  <c r="K30" i="6"/>
  <c r="M30" i="6"/>
  <c r="O30" i="6"/>
  <c r="P30" i="6"/>
  <c r="A44" i="11"/>
  <c r="B44" i="11"/>
  <c r="C44" i="11"/>
  <c r="D44" i="11"/>
  <c r="E44" i="11"/>
  <c r="F44" i="11"/>
  <c r="G44" i="11"/>
  <c r="H44" i="11"/>
  <c r="I44" i="11"/>
  <c r="K44" i="11"/>
  <c r="M44" i="11"/>
  <c r="O44" i="11"/>
  <c r="P44" i="11"/>
  <c r="A46" i="11"/>
  <c r="B46" i="11"/>
  <c r="C46" i="11"/>
  <c r="D46" i="11"/>
  <c r="E46" i="11"/>
  <c r="F46" i="11"/>
  <c r="G46" i="11"/>
  <c r="H46" i="11"/>
  <c r="I46" i="11"/>
  <c r="K46" i="11"/>
  <c r="M46" i="11"/>
  <c r="O46" i="11"/>
  <c r="P46" i="11"/>
  <c r="A47" i="11"/>
  <c r="B47" i="11"/>
  <c r="C47" i="11"/>
  <c r="D47" i="11"/>
  <c r="E47" i="11"/>
  <c r="F47" i="11"/>
  <c r="G47" i="11"/>
  <c r="H47" i="11"/>
  <c r="I47" i="11"/>
  <c r="K47" i="11"/>
  <c r="M47" i="11"/>
  <c r="O47" i="11"/>
  <c r="P47" i="11"/>
  <c r="A48" i="11"/>
  <c r="B48" i="11"/>
  <c r="C48" i="11"/>
  <c r="D48" i="11"/>
  <c r="E48" i="11"/>
  <c r="F48" i="11"/>
  <c r="G48" i="11"/>
  <c r="H48" i="11"/>
  <c r="I48" i="11"/>
  <c r="K48" i="11"/>
  <c r="M48" i="11"/>
  <c r="O48" i="11"/>
  <c r="P48" i="11"/>
  <c r="P43" i="11"/>
  <c r="O43" i="11"/>
  <c r="M43" i="11"/>
  <c r="K43" i="11"/>
  <c r="I43" i="11"/>
  <c r="H43" i="11"/>
  <c r="G43" i="11"/>
  <c r="F43" i="11"/>
  <c r="E43" i="11"/>
  <c r="D43" i="11"/>
  <c r="C43" i="11"/>
  <c r="B43" i="11"/>
  <c r="A43" i="11"/>
  <c r="I42" i="11"/>
  <c r="H42" i="11"/>
  <c r="G42" i="11"/>
  <c r="F42" i="11"/>
  <c r="E42" i="11"/>
  <c r="D42" i="11"/>
  <c r="C42" i="11"/>
  <c r="B42" i="11"/>
  <c r="CK40" i="1"/>
  <c r="CL40" i="1"/>
  <c r="CM40" i="1"/>
  <c r="CK41" i="1"/>
  <c r="CL41" i="1"/>
  <c r="CM41" i="1"/>
  <c r="B32" i="11"/>
  <c r="C32" i="11"/>
  <c r="D32" i="11"/>
  <c r="E32" i="11"/>
  <c r="F32" i="11"/>
  <c r="G32" i="11"/>
  <c r="H32" i="11"/>
  <c r="I32" i="11"/>
  <c r="K32" i="11"/>
  <c r="M32" i="11"/>
  <c r="O32" i="11"/>
  <c r="P32" i="11"/>
  <c r="B31" i="11"/>
  <c r="C31" i="11"/>
  <c r="D31" i="11"/>
  <c r="E31" i="11"/>
  <c r="F31" i="11"/>
  <c r="G31" i="11"/>
  <c r="H31" i="11"/>
  <c r="I31" i="11"/>
  <c r="K31" i="11"/>
  <c r="O31" i="11"/>
  <c r="P31" i="11"/>
  <c r="B21" i="11"/>
  <c r="C21" i="11"/>
  <c r="D21" i="11"/>
  <c r="E21" i="11"/>
  <c r="F21" i="11"/>
  <c r="G21" i="11"/>
  <c r="H21" i="11"/>
  <c r="I21" i="11"/>
  <c r="K21" i="11"/>
  <c r="M21" i="11"/>
  <c r="O21" i="11"/>
  <c r="P21" i="11"/>
  <c r="B22" i="11"/>
  <c r="C22" i="11"/>
  <c r="D22" i="11"/>
  <c r="E22" i="11"/>
  <c r="F22" i="11"/>
  <c r="G22" i="11"/>
  <c r="H22" i="11"/>
  <c r="I22" i="11"/>
  <c r="K22" i="11"/>
  <c r="M22" i="11"/>
  <c r="O22" i="11"/>
  <c r="P22" i="11"/>
  <c r="B23" i="11"/>
  <c r="C23" i="11"/>
  <c r="D23" i="11"/>
  <c r="E23" i="11"/>
  <c r="F23" i="11"/>
  <c r="G23" i="11"/>
  <c r="H23" i="11"/>
  <c r="I23" i="11"/>
  <c r="K23" i="11"/>
  <c r="M23" i="11"/>
  <c r="O23" i="11"/>
  <c r="P23" i="11"/>
  <c r="B24" i="11"/>
  <c r="C24" i="11"/>
  <c r="D24" i="11"/>
  <c r="E24" i="11"/>
  <c r="F24" i="11"/>
  <c r="G24" i="11"/>
  <c r="H24" i="11"/>
  <c r="I24" i="11"/>
  <c r="K24" i="11"/>
  <c r="M24" i="11"/>
  <c r="O24" i="11"/>
  <c r="P24" i="11"/>
  <c r="B25" i="11"/>
  <c r="C25" i="11"/>
  <c r="D25" i="11"/>
  <c r="E25" i="11"/>
  <c r="F25" i="11"/>
  <c r="G25" i="11"/>
  <c r="H25" i="11"/>
  <c r="I25" i="11"/>
  <c r="K25" i="11"/>
  <c r="M25" i="11"/>
  <c r="O25" i="11"/>
  <c r="P25" i="11"/>
  <c r="B27" i="11"/>
  <c r="C27" i="11"/>
  <c r="D27" i="11"/>
  <c r="E27" i="11"/>
  <c r="F27" i="11"/>
  <c r="G27" i="11"/>
  <c r="H27" i="11"/>
  <c r="I27" i="11"/>
  <c r="K27" i="11"/>
  <c r="M27" i="11"/>
  <c r="O27" i="11"/>
  <c r="P27" i="11"/>
  <c r="B28" i="11"/>
  <c r="C28" i="11"/>
  <c r="D28" i="11"/>
  <c r="E28" i="11"/>
  <c r="F28" i="11"/>
  <c r="G28" i="11"/>
  <c r="H28" i="11"/>
  <c r="I28" i="11"/>
  <c r="K28" i="11"/>
  <c r="M28" i="11"/>
  <c r="O28" i="11"/>
  <c r="P28" i="11"/>
  <c r="B29" i="11"/>
  <c r="C29" i="11"/>
  <c r="D29" i="11"/>
  <c r="E29" i="11"/>
  <c r="F29" i="11"/>
  <c r="G29" i="11"/>
  <c r="H29" i="11"/>
  <c r="I29" i="11"/>
  <c r="K29" i="11"/>
  <c r="M29" i="11"/>
  <c r="O29" i="11"/>
  <c r="P29" i="11"/>
  <c r="B30" i="11"/>
  <c r="C30" i="11"/>
  <c r="D30" i="11"/>
  <c r="E30" i="11"/>
  <c r="F30" i="11"/>
  <c r="G30" i="11"/>
  <c r="H30" i="11"/>
  <c r="I30" i="11"/>
  <c r="K30" i="11"/>
  <c r="M30" i="11"/>
  <c r="O30" i="11"/>
  <c r="P30" i="11"/>
  <c r="M41" i="1" l="1"/>
  <c r="BQ41" i="1" s="1"/>
  <c r="BR41" i="1" s="1"/>
  <c r="J40" i="11"/>
  <c r="J41" i="11"/>
  <c r="M108" i="1"/>
  <c r="U108" i="1" s="1"/>
  <c r="CJ108" i="1"/>
  <c r="T108" i="1"/>
  <c r="R108" i="1"/>
  <c r="J119" i="6"/>
  <c r="CI108" i="1"/>
  <c r="CF108" i="1"/>
  <c r="CI40" i="1"/>
  <c r="CF40" i="1"/>
  <c r="CJ41" i="1"/>
  <c r="CI26" i="1"/>
  <c r="CF26" i="1"/>
  <c r="CI41" i="1"/>
  <c r="CF41" i="1"/>
  <c r="CJ45" i="1"/>
  <c r="CI45" i="1"/>
  <c r="CF45" i="1"/>
  <c r="M40" i="1"/>
  <c r="U40" i="1" s="1"/>
  <c r="M26" i="1"/>
  <c r="J26" i="6"/>
  <c r="J26" i="11"/>
  <c r="BQ45" i="1"/>
  <c r="BR45" i="1" s="1"/>
  <c r="T26" i="1"/>
  <c r="R26" i="1"/>
  <c r="T41" i="1"/>
  <c r="R41" i="1"/>
  <c r="T40" i="1"/>
  <c r="R40" i="1"/>
  <c r="N217" i="8"/>
  <c r="O217" i="8"/>
  <c r="P217" i="8"/>
  <c r="Q217" i="8"/>
  <c r="R217" i="8"/>
  <c r="M217" i="8"/>
  <c r="N189" i="8"/>
  <c r="O189" i="8"/>
  <c r="P189" i="8"/>
  <c r="Q189" i="8"/>
  <c r="R189" i="8"/>
  <c r="M189" i="8"/>
  <c r="AA38" i="1"/>
  <c r="AA39" i="1"/>
  <c r="AA31" i="1"/>
  <c r="AA32" i="1"/>
  <c r="AA34" i="1"/>
  <c r="AA35" i="1"/>
  <c r="AA37" i="1"/>
  <c r="AX31" i="1"/>
  <c r="AW31" i="1" s="1"/>
  <c r="AV31" i="1" s="1"/>
  <c r="AX32" i="1"/>
  <c r="AW32" i="1" s="1"/>
  <c r="AV32" i="1" s="1"/>
  <c r="AX34" i="1"/>
  <c r="AX35" i="1"/>
  <c r="AW35" i="1" s="1"/>
  <c r="AV35" i="1" s="1"/>
  <c r="AX37" i="1"/>
  <c r="AW37" i="1" s="1"/>
  <c r="AV37" i="1" s="1"/>
  <c r="AX38" i="1"/>
  <c r="AW38" i="1" s="1"/>
  <c r="AV38" i="1" s="1"/>
  <c r="AX39" i="1"/>
  <c r="AW39" i="1" s="1"/>
  <c r="AV39" i="1" s="1"/>
  <c r="N31" i="1"/>
  <c r="Q31" i="1"/>
  <c r="N32" i="1"/>
  <c r="Q32" i="1"/>
  <c r="N34" i="1"/>
  <c r="Q34" i="1"/>
  <c r="N35" i="1"/>
  <c r="BW35" i="1" s="1"/>
  <c r="BY35" i="1" s="1"/>
  <c r="Q35" i="1"/>
  <c r="N37" i="1"/>
  <c r="BW37" i="1" s="1"/>
  <c r="Q37" i="1"/>
  <c r="N38" i="1"/>
  <c r="BW38" i="1" s="1"/>
  <c r="Q38" i="1"/>
  <c r="N39" i="1"/>
  <c r="BW39" i="1" s="1"/>
  <c r="Q39" i="1"/>
  <c r="D160" i="8"/>
  <c r="E160" i="8"/>
  <c r="F160" i="8"/>
  <c r="G160" i="8"/>
  <c r="H160" i="8"/>
  <c r="I160" i="8"/>
  <c r="J160" i="8"/>
  <c r="K160" i="8"/>
  <c r="L160" i="8"/>
  <c r="M160" i="8"/>
  <c r="R160" i="8"/>
  <c r="T160" i="8"/>
  <c r="U160" i="8"/>
  <c r="V160" i="8"/>
  <c r="W160" i="8"/>
  <c r="X160" i="8"/>
  <c r="Y160" i="8"/>
  <c r="Z160" i="8"/>
  <c r="AA160" i="8"/>
  <c r="AE160" i="8"/>
  <c r="AF160" i="8"/>
  <c r="AG160" i="8"/>
  <c r="AH160" i="8"/>
  <c r="AI160" i="8"/>
  <c r="C160" i="8"/>
  <c r="L137" i="8"/>
  <c r="M137" i="8"/>
  <c r="N137" i="8"/>
  <c r="O137" i="8"/>
  <c r="P137" i="8"/>
  <c r="Q137" i="8"/>
  <c r="R137" i="8"/>
  <c r="S137" i="8"/>
  <c r="T137" i="8"/>
  <c r="U137" i="8"/>
  <c r="V137" i="8"/>
  <c r="W137" i="8"/>
  <c r="X137" i="8"/>
  <c r="Y137" i="8"/>
  <c r="Z137" i="8"/>
  <c r="AA137" i="8"/>
  <c r="AB137" i="8"/>
  <c r="AC137" i="8"/>
  <c r="AD137" i="8"/>
  <c r="AE137" i="8"/>
  <c r="AF137" i="8"/>
  <c r="AG137" i="8"/>
  <c r="AH137" i="8"/>
  <c r="AI137" i="8"/>
  <c r="AJ137" i="8"/>
  <c r="AK137" i="8"/>
  <c r="AL137" i="8"/>
  <c r="AM137" i="8"/>
  <c r="AN137" i="8"/>
  <c r="AO137" i="8"/>
  <c r="AP137" i="8"/>
  <c r="AQ137" i="8"/>
  <c r="K137" i="8"/>
  <c r="B105" i="11"/>
  <c r="C105" i="11"/>
  <c r="D105" i="11"/>
  <c r="E105" i="11"/>
  <c r="F105" i="11"/>
  <c r="G105" i="11"/>
  <c r="H105" i="11"/>
  <c r="I105" i="11"/>
  <c r="K105" i="11"/>
  <c r="M105" i="11"/>
  <c r="O105" i="11"/>
  <c r="P105" i="11"/>
  <c r="Q105" i="11"/>
  <c r="CK105" i="1" s="1"/>
  <c r="R105" i="11"/>
  <c r="CL105" i="1" s="1"/>
  <c r="S105" i="11"/>
  <c r="CM105" i="1" s="1"/>
  <c r="A52" i="6"/>
  <c r="B52" i="6"/>
  <c r="C52" i="6"/>
  <c r="D52" i="6"/>
  <c r="E52" i="6"/>
  <c r="F52" i="6"/>
  <c r="G52" i="6"/>
  <c r="H52" i="6"/>
  <c r="I52" i="6"/>
  <c r="K52" i="6"/>
  <c r="M52" i="6"/>
  <c r="O52" i="6"/>
  <c r="P52" i="6"/>
  <c r="Q52" i="6"/>
  <c r="R52" i="6"/>
  <c r="S52" i="6"/>
  <c r="A69" i="6"/>
  <c r="B69" i="6"/>
  <c r="C69" i="6"/>
  <c r="D69" i="6"/>
  <c r="E69" i="6"/>
  <c r="F69" i="6"/>
  <c r="G69" i="6"/>
  <c r="H69" i="6"/>
  <c r="I69" i="6"/>
  <c r="K69" i="6"/>
  <c r="M69" i="6"/>
  <c r="O69" i="6"/>
  <c r="P69" i="6"/>
  <c r="Q69" i="6"/>
  <c r="R69" i="6"/>
  <c r="S69" i="6"/>
  <c r="A70" i="6"/>
  <c r="B70" i="6"/>
  <c r="C70" i="6"/>
  <c r="D70" i="6"/>
  <c r="E70" i="6"/>
  <c r="F70" i="6"/>
  <c r="G70" i="6"/>
  <c r="H70" i="6"/>
  <c r="I70" i="6"/>
  <c r="K70" i="6"/>
  <c r="M70" i="6"/>
  <c r="O70" i="6"/>
  <c r="P70" i="6"/>
  <c r="Q70" i="6"/>
  <c r="R70" i="6"/>
  <c r="S70" i="6"/>
  <c r="Q53" i="11"/>
  <c r="CK53" i="1" s="1"/>
  <c r="R53" i="11"/>
  <c r="CL53" i="1" s="1"/>
  <c r="S53" i="11"/>
  <c r="CM53" i="1" s="1"/>
  <c r="Q52" i="11"/>
  <c r="CK52" i="1" s="1"/>
  <c r="R52" i="11"/>
  <c r="CL52" i="1" s="1"/>
  <c r="S52" i="11"/>
  <c r="CM52" i="1" s="1"/>
  <c r="A69" i="11"/>
  <c r="B69" i="11"/>
  <c r="C69" i="11"/>
  <c r="D69" i="11"/>
  <c r="H69" i="11"/>
  <c r="I69" i="11"/>
  <c r="K69" i="11"/>
  <c r="M69" i="11"/>
  <c r="O69" i="11"/>
  <c r="P69" i="11"/>
  <c r="BP122" i="11"/>
  <c r="BO122" i="11"/>
  <c r="BN122" i="11"/>
  <c r="BM122" i="11"/>
  <c r="BL122" i="11"/>
  <c r="BK122" i="11"/>
  <c r="BJ122" i="11"/>
  <c r="BI122" i="11"/>
  <c r="BH122" i="11"/>
  <c r="BG122" i="11"/>
  <c r="BC122" i="11"/>
  <c r="BB122" i="11"/>
  <c r="BA122" i="11"/>
  <c r="AZ122" i="11"/>
  <c r="AY122" i="11"/>
  <c r="AX122" i="11"/>
  <c r="AW122" i="11"/>
  <c r="AV122" i="11"/>
  <c r="AU122" i="11"/>
  <c r="AT122" i="11"/>
  <c r="AS122" i="11"/>
  <c r="AR122" i="11"/>
  <c r="AQ122" i="11"/>
  <c r="AP122" i="11"/>
  <c r="AO122" i="11"/>
  <c r="AN122" i="11"/>
  <c r="AM122" i="11"/>
  <c r="AL122" i="11"/>
  <c r="AK122" i="11"/>
  <c r="AJ122" i="11"/>
  <c r="AI122" i="11"/>
  <c r="AH122" i="11"/>
  <c r="AG122" i="11"/>
  <c r="AF122" i="11"/>
  <c r="AE122" i="11"/>
  <c r="AD122" i="11"/>
  <c r="AC122" i="11"/>
  <c r="AB122" i="11"/>
  <c r="AA122" i="11"/>
  <c r="Z122" i="11"/>
  <c r="Y122" i="11"/>
  <c r="X122" i="11"/>
  <c r="W122" i="11"/>
  <c r="V122" i="11"/>
  <c r="U122" i="11"/>
  <c r="T122" i="11"/>
  <c r="I122" i="11"/>
  <c r="H122" i="11"/>
  <c r="G122" i="11"/>
  <c r="F122" i="11"/>
  <c r="E122" i="11"/>
  <c r="D122" i="11"/>
  <c r="C122" i="11"/>
  <c r="B122" i="11"/>
  <c r="I104" i="11"/>
  <c r="H104" i="11"/>
  <c r="G104" i="11"/>
  <c r="F104" i="11"/>
  <c r="E104" i="11"/>
  <c r="D104" i="11"/>
  <c r="C104" i="11"/>
  <c r="B104" i="11"/>
  <c r="S81" i="11"/>
  <c r="CM81" i="1" s="1"/>
  <c r="R81" i="11"/>
  <c r="CL81" i="1" s="1"/>
  <c r="Q81" i="11"/>
  <c r="CK81" i="1" s="1"/>
  <c r="P81" i="11"/>
  <c r="O81" i="11"/>
  <c r="M81" i="11"/>
  <c r="K81" i="11"/>
  <c r="I81" i="11"/>
  <c r="H81" i="11"/>
  <c r="G81" i="11"/>
  <c r="F81" i="11"/>
  <c r="E81" i="11"/>
  <c r="D81" i="11"/>
  <c r="C81" i="11"/>
  <c r="B81" i="11"/>
  <c r="A81" i="11"/>
  <c r="I80" i="11"/>
  <c r="H80" i="11"/>
  <c r="G80" i="11"/>
  <c r="F80" i="11"/>
  <c r="E80" i="11"/>
  <c r="D80" i="11"/>
  <c r="C80" i="11"/>
  <c r="B80" i="11"/>
  <c r="S79" i="11"/>
  <c r="CM79" i="1" s="1"/>
  <c r="R79" i="11"/>
  <c r="CL79" i="1" s="1"/>
  <c r="Q79" i="11"/>
  <c r="CK79" i="1" s="1"/>
  <c r="P79" i="11"/>
  <c r="O79" i="11"/>
  <c r="M79" i="11"/>
  <c r="K79" i="11"/>
  <c r="I79" i="11"/>
  <c r="H79" i="11"/>
  <c r="G79" i="11"/>
  <c r="D79" i="11"/>
  <c r="C79" i="11"/>
  <c r="B79" i="11"/>
  <c r="A79" i="11"/>
  <c r="S78" i="11"/>
  <c r="CM78" i="1" s="1"/>
  <c r="R78" i="11"/>
  <c r="CL78" i="1" s="1"/>
  <c r="Q78" i="11"/>
  <c r="CK78" i="1" s="1"/>
  <c r="P78" i="11"/>
  <c r="O78" i="11"/>
  <c r="M78" i="11"/>
  <c r="K78" i="11"/>
  <c r="I78" i="11"/>
  <c r="H78" i="11"/>
  <c r="G78" i="11"/>
  <c r="F78" i="11"/>
  <c r="E78" i="11"/>
  <c r="D78" i="11"/>
  <c r="C78" i="11"/>
  <c r="B78" i="11"/>
  <c r="A78" i="11"/>
  <c r="S77" i="11"/>
  <c r="CM77" i="1" s="1"/>
  <c r="R77" i="11"/>
  <c r="CL77" i="1" s="1"/>
  <c r="Q77" i="11"/>
  <c r="CK77" i="1" s="1"/>
  <c r="P77" i="11"/>
  <c r="O77" i="11"/>
  <c r="M77" i="11"/>
  <c r="K77" i="11"/>
  <c r="I77" i="11"/>
  <c r="H77" i="11"/>
  <c r="G77" i="11"/>
  <c r="F77" i="11"/>
  <c r="E77" i="11"/>
  <c r="D77" i="11"/>
  <c r="C77" i="11"/>
  <c r="B77" i="11"/>
  <c r="A77" i="11"/>
  <c r="S76" i="11"/>
  <c r="CM76" i="1" s="1"/>
  <c r="R76" i="11"/>
  <c r="CL76" i="1" s="1"/>
  <c r="Q76" i="11"/>
  <c r="CK76" i="1" s="1"/>
  <c r="P76" i="11"/>
  <c r="O76" i="11"/>
  <c r="M76" i="11"/>
  <c r="K76" i="11"/>
  <c r="I76" i="11"/>
  <c r="H76" i="11"/>
  <c r="G76" i="11"/>
  <c r="F76" i="11"/>
  <c r="E76" i="11"/>
  <c r="D76" i="11"/>
  <c r="C76" i="11"/>
  <c r="B76" i="11"/>
  <c r="A76" i="11"/>
  <c r="S75" i="11"/>
  <c r="CM75" i="1" s="1"/>
  <c r="R75" i="11"/>
  <c r="CL75" i="1" s="1"/>
  <c r="Q75" i="11"/>
  <c r="CK75" i="1" s="1"/>
  <c r="P75" i="11"/>
  <c r="O75" i="11"/>
  <c r="M75" i="11"/>
  <c r="K75" i="11"/>
  <c r="I75" i="11"/>
  <c r="H75" i="11"/>
  <c r="G75" i="11"/>
  <c r="F75" i="11"/>
  <c r="E75" i="11"/>
  <c r="D75" i="11"/>
  <c r="C75" i="11"/>
  <c r="B75" i="11"/>
  <c r="A75" i="11"/>
  <c r="S74" i="11"/>
  <c r="CM74" i="1" s="1"/>
  <c r="R74" i="11"/>
  <c r="CL74" i="1" s="1"/>
  <c r="Q74" i="11"/>
  <c r="CK74" i="1" s="1"/>
  <c r="P74" i="11"/>
  <c r="O74" i="11"/>
  <c r="M74" i="11"/>
  <c r="K74" i="11"/>
  <c r="I74" i="11"/>
  <c r="H74" i="11"/>
  <c r="G74" i="11"/>
  <c r="F74" i="11"/>
  <c r="E74" i="11"/>
  <c r="D74" i="11"/>
  <c r="C74" i="11"/>
  <c r="B74" i="11"/>
  <c r="A74" i="11"/>
  <c r="S73" i="11"/>
  <c r="CM73" i="1" s="1"/>
  <c r="R73" i="11"/>
  <c r="CL73" i="1" s="1"/>
  <c r="Q73" i="11"/>
  <c r="CK73" i="1" s="1"/>
  <c r="P73" i="11"/>
  <c r="O73" i="11"/>
  <c r="M73" i="11"/>
  <c r="K73" i="11"/>
  <c r="I73" i="11"/>
  <c r="H73" i="11"/>
  <c r="G73" i="11"/>
  <c r="F73" i="11"/>
  <c r="E73" i="11"/>
  <c r="D73" i="11"/>
  <c r="C73" i="11"/>
  <c r="B73" i="11"/>
  <c r="A73" i="11"/>
  <c r="S72" i="11"/>
  <c r="CM72" i="1" s="1"/>
  <c r="R72" i="11"/>
  <c r="CL72" i="1" s="1"/>
  <c r="Q72" i="11"/>
  <c r="CK72" i="1" s="1"/>
  <c r="P72" i="11"/>
  <c r="O72" i="11"/>
  <c r="M72" i="11"/>
  <c r="K72" i="11"/>
  <c r="I72" i="11"/>
  <c r="H72" i="11"/>
  <c r="G72" i="11"/>
  <c r="F72" i="11"/>
  <c r="E72" i="11"/>
  <c r="D72" i="11"/>
  <c r="C72" i="11"/>
  <c r="B72" i="11"/>
  <c r="A72" i="11"/>
  <c r="S71" i="11"/>
  <c r="CM71" i="1" s="1"/>
  <c r="R71" i="11"/>
  <c r="CL71" i="1" s="1"/>
  <c r="Q71" i="11"/>
  <c r="CK71" i="1" s="1"/>
  <c r="P71" i="11"/>
  <c r="O71" i="11"/>
  <c r="M71" i="11"/>
  <c r="K71" i="11"/>
  <c r="I71" i="11"/>
  <c r="H71" i="11"/>
  <c r="G71" i="11"/>
  <c r="F71" i="11"/>
  <c r="E71" i="11"/>
  <c r="D71" i="11"/>
  <c r="C71" i="11"/>
  <c r="B71" i="11"/>
  <c r="A71" i="11"/>
  <c r="S70" i="11"/>
  <c r="CM70" i="1" s="1"/>
  <c r="R70" i="11"/>
  <c r="CL70" i="1" s="1"/>
  <c r="Q70" i="11"/>
  <c r="CK70" i="1" s="1"/>
  <c r="P70" i="11"/>
  <c r="O70" i="11"/>
  <c r="M70" i="11"/>
  <c r="K70" i="11"/>
  <c r="I70" i="11"/>
  <c r="H70" i="11"/>
  <c r="G70" i="11"/>
  <c r="F70" i="11"/>
  <c r="E70" i="11"/>
  <c r="D70" i="11"/>
  <c r="C70" i="11"/>
  <c r="B70" i="11"/>
  <c r="A70" i="11"/>
  <c r="S69" i="11"/>
  <c r="CM69" i="1" s="1"/>
  <c r="R69" i="11"/>
  <c r="CL69" i="1" s="1"/>
  <c r="Q69" i="11"/>
  <c r="CK69" i="1" s="1"/>
  <c r="S68" i="11"/>
  <c r="CM68" i="1" s="1"/>
  <c r="R68" i="11"/>
  <c r="CL68" i="1" s="1"/>
  <c r="Q68" i="11"/>
  <c r="CK68" i="1" s="1"/>
  <c r="P68" i="11"/>
  <c r="O68" i="11"/>
  <c r="M68" i="11"/>
  <c r="K68" i="11"/>
  <c r="I68" i="11"/>
  <c r="H68" i="11"/>
  <c r="G68" i="11"/>
  <c r="F68" i="11"/>
  <c r="E68" i="11"/>
  <c r="D68" i="11"/>
  <c r="C68" i="11"/>
  <c r="B68" i="11"/>
  <c r="A68" i="11"/>
  <c r="S67" i="11"/>
  <c r="CM67" i="1" s="1"/>
  <c r="R67" i="11"/>
  <c r="CL67" i="1" s="1"/>
  <c r="Q67" i="11"/>
  <c r="CK67" i="1" s="1"/>
  <c r="P67" i="11"/>
  <c r="O67" i="11"/>
  <c r="M67" i="11"/>
  <c r="K67" i="11"/>
  <c r="I67" i="11"/>
  <c r="H67" i="11"/>
  <c r="G67" i="11"/>
  <c r="F67" i="11"/>
  <c r="E67" i="11"/>
  <c r="D67" i="11"/>
  <c r="C67" i="11"/>
  <c r="B67" i="11"/>
  <c r="A67" i="11"/>
  <c r="S66" i="11"/>
  <c r="CM66" i="1" s="1"/>
  <c r="R66" i="11"/>
  <c r="CL66" i="1" s="1"/>
  <c r="Q66" i="11"/>
  <c r="CK66" i="1" s="1"/>
  <c r="P66" i="11"/>
  <c r="O66" i="11"/>
  <c r="M66" i="11"/>
  <c r="K66" i="11"/>
  <c r="I66" i="11"/>
  <c r="H66" i="11"/>
  <c r="G66" i="11"/>
  <c r="F66" i="11"/>
  <c r="E66" i="11"/>
  <c r="D66" i="11"/>
  <c r="C66" i="11"/>
  <c r="B66" i="11"/>
  <c r="A66" i="11"/>
  <c r="S65" i="11"/>
  <c r="CM65" i="1" s="1"/>
  <c r="R65" i="11"/>
  <c r="CL65" i="1" s="1"/>
  <c r="Q65" i="11"/>
  <c r="CK65" i="1" s="1"/>
  <c r="P65" i="11"/>
  <c r="O65" i="11"/>
  <c r="M65" i="11"/>
  <c r="K65" i="11"/>
  <c r="I65" i="11"/>
  <c r="H65" i="11"/>
  <c r="G65" i="11"/>
  <c r="F65" i="11"/>
  <c r="E65" i="11"/>
  <c r="D65" i="11"/>
  <c r="C65" i="11"/>
  <c r="B65" i="11"/>
  <c r="A65" i="11"/>
  <c r="S64" i="11"/>
  <c r="CM64" i="1" s="1"/>
  <c r="R64" i="11"/>
  <c r="CL64" i="1" s="1"/>
  <c r="Q64" i="11"/>
  <c r="CK64" i="1" s="1"/>
  <c r="P64" i="11"/>
  <c r="O64" i="11"/>
  <c r="M64" i="11"/>
  <c r="K64" i="11"/>
  <c r="I64" i="11"/>
  <c r="H64" i="11"/>
  <c r="G64" i="11"/>
  <c r="F64" i="11"/>
  <c r="E64" i="11"/>
  <c r="D64" i="11"/>
  <c r="C64" i="11"/>
  <c r="B64" i="11"/>
  <c r="A64" i="11"/>
  <c r="S63" i="11"/>
  <c r="CM63" i="1" s="1"/>
  <c r="R63" i="11"/>
  <c r="CL63" i="1" s="1"/>
  <c r="Q63" i="11"/>
  <c r="CK63" i="1" s="1"/>
  <c r="P63" i="11"/>
  <c r="O63" i="11"/>
  <c r="M63" i="11"/>
  <c r="K63" i="11"/>
  <c r="I63" i="11"/>
  <c r="H63" i="11"/>
  <c r="G63" i="11"/>
  <c r="F63" i="11"/>
  <c r="E63" i="11"/>
  <c r="D63" i="11"/>
  <c r="C63" i="11"/>
  <c r="B63" i="11"/>
  <c r="A63" i="11"/>
  <c r="S62" i="11"/>
  <c r="CM62" i="1" s="1"/>
  <c r="R62" i="11"/>
  <c r="CL62" i="1" s="1"/>
  <c r="Q62" i="11"/>
  <c r="CK62" i="1" s="1"/>
  <c r="P62" i="11"/>
  <c r="O62" i="11"/>
  <c r="M62" i="11"/>
  <c r="K62" i="11"/>
  <c r="I62" i="11"/>
  <c r="H62" i="11"/>
  <c r="G62" i="11"/>
  <c r="F62" i="11"/>
  <c r="E62" i="11"/>
  <c r="D62" i="11"/>
  <c r="C62" i="11"/>
  <c r="B62" i="11"/>
  <c r="A62" i="11"/>
  <c r="I61" i="11"/>
  <c r="H61" i="11"/>
  <c r="G61" i="11"/>
  <c r="F61" i="11"/>
  <c r="E61" i="11"/>
  <c r="D61" i="11"/>
  <c r="C61" i="11"/>
  <c r="B61" i="11"/>
  <c r="S60" i="11"/>
  <c r="CM60" i="1" s="1"/>
  <c r="R60" i="11"/>
  <c r="CL60" i="1" s="1"/>
  <c r="Q60" i="11"/>
  <c r="CK60" i="1" s="1"/>
  <c r="P60" i="11"/>
  <c r="O60" i="11"/>
  <c r="M60" i="11"/>
  <c r="K60" i="11"/>
  <c r="I60" i="11"/>
  <c r="H60" i="11"/>
  <c r="G60" i="11"/>
  <c r="F60" i="11"/>
  <c r="E60" i="11"/>
  <c r="D60" i="11"/>
  <c r="C60" i="11"/>
  <c r="B60" i="11"/>
  <c r="A60" i="11"/>
  <c r="S59" i="11"/>
  <c r="CM59" i="1" s="1"/>
  <c r="R59" i="11"/>
  <c r="CL59" i="1" s="1"/>
  <c r="Q59" i="11"/>
  <c r="CK59" i="1" s="1"/>
  <c r="P59" i="11"/>
  <c r="O59" i="11"/>
  <c r="M59" i="11"/>
  <c r="K59" i="11"/>
  <c r="I59" i="11"/>
  <c r="H59" i="11"/>
  <c r="G59" i="11"/>
  <c r="F59" i="11"/>
  <c r="E59" i="11"/>
  <c r="D59" i="11"/>
  <c r="C59" i="11"/>
  <c r="B59" i="11"/>
  <c r="A59" i="11"/>
  <c r="S58" i="11"/>
  <c r="CM58" i="1" s="1"/>
  <c r="R58" i="11"/>
  <c r="CL58" i="1" s="1"/>
  <c r="Q58" i="11"/>
  <c r="CK58" i="1" s="1"/>
  <c r="P58" i="11"/>
  <c r="O58" i="11"/>
  <c r="M58" i="11"/>
  <c r="K58" i="11"/>
  <c r="I58" i="11"/>
  <c r="H58" i="11"/>
  <c r="G58" i="11"/>
  <c r="F58" i="11"/>
  <c r="E58" i="11"/>
  <c r="D58" i="11"/>
  <c r="C58" i="11"/>
  <c r="B58" i="11"/>
  <c r="A58" i="11"/>
  <c r="S57" i="11"/>
  <c r="CM57" i="1" s="1"/>
  <c r="R57" i="11"/>
  <c r="CL57" i="1" s="1"/>
  <c r="Q57" i="11"/>
  <c r="CK57" i="1" s="1"/>
  <c r="P57" i="11"/>
  <c r="O57" i="11"/>
  <c r="M57" i="11"/>
  <c r="K57" i="11"/>
  <c r="I57" i="11"/>
  <c r="H57" i="11"/>
  <c r="G57" i="11"/>
  <c r="D57" i="11"/>
  <c r="C57" i="11"/>
  <c r="B57" i="11"/>
  <c r="A57" i="11"/>
  <c r="S56" i="11"/>
  <c r="CM56" i="1" s="1"/>
  <c r="R56" i="11"/>
  <c r="CL56" i="1" s="1"/>
  <c r="Q56" i="11"/>
  <c r="CK56" i="1" s="1"/>
  <c r="P56" i="11"/>
  <c r="O56" i="11"/>
  <c r="M56" i="11"/>
  <c r="K56" i="11"/>
  <c r="I56" i="11"/>
  <c r="H56" i="11"/>
  <c r="G56" i="11"/>
  <c r="F56" i="11"/>
  <c r="E56" i="11"/>
  <c r="D56" i="11"/>
  <c r="C56" i="11"/>
  <c r="B56" i="11"/>
  <c r="A56" i="11"/>
  <c r="S55" i="11"/>
  <c r="CM55" i="1" s="1"/>
  <c r="R55" i="11"/>
  <c r="CL55" i="1" s="1"/>
  <c r="Q55" i="11"/>
  <c r="CK55" i="1" s="1"/>
  <c r="P55" i="11"/>
  <c r="O55" i="11"/>
  <c r="M55" i="11"/>
  <c r="K55" i="11"/>
  <c r="I55" i="11"/>
  <c r="H55" i="11"/>
  <c r="G55" i="11"/>
  <c r="F55" i="11"/>
  <c r="E55" i="11"/>
  <c r="D55" i="11"/>
  <c r="C55" i="11"/>
  <c r="B55" i="11"/>
  <c r="A55" i="11"/>
  <c r="S54" i="11"/>
  <c r="CM54" i="1" s="1"/>
  <c r="R54" i="11"/>
  <c r="CL54" i="1" s="1"/>
  <c r="Q54" i="11"/>
  <c r="CK54" i="1" s="1"/>
  <c r="P54" i="11"/>
  <c r="O54" i="11"/>
  <c r="M54" i="11"/>
  <c r="K54" i="11"/>
  <c r="I54" i="11"/>
  <c r="H54" i="11"/>
  <c r="G54" i="11"/>
  <c r="F54" i="11"/>
  <c r="E54" i="11"/>
  <c r="D54" i="11"/>
  <c r="C54" i="11"/>
  <c r="B54" i="11"/>
  <c r="A54" i="11"/>
  <c r="P53" i="11"/>
  <c r="O53" i="11"/>
  <c r="M53" i="11"/>
  <c r="K53" i="11"/>
  <c r="I53" i="11"/>
  <c r="H53" i="11"/>
  <c r="G53" i="11"/>
  <c r="F53" i="11"/>
  <c r="E53" i="11"/>
  <c r="D53" i="11"/>
  <c r="C53" i="11"/>
  <c r="B53" i="11"/>
  <c r="A53" i="11"/>
  <c r="P52" i="11"/>
  <c r="O52" i="11"/>
  <c r="M52" i="11"/>
  <c r="K52" i="11"/>
  <c r="I52" i="11"/>
  <c r="H52" i="11"/>
  <c r="G52" i="11"/>
  <c r="F52" i="11"/>
  <c r="E52" i="11"/>
  <c r="D52" i="11"/>
  <c r="C52" i="11"/>
  <c r="B52" i="11"/>
  <c r="A52" i="11"/>
  <c r="S50" i="11"/>
  <c r="CM50" i="1" s="1"/>
  <c r="R50" i="11"/>
  <c r="CL50" i="1" s="1"/>
  <c r="Q50" i="11"/>
  <c r="CK50" i="1" s="1"/>
  <c r="P50" i="11"/>
  <c r="O50" i="11"/>
  <c r="M50" i="11"/>
  <c r="K50" i="11"/>
  <c r="I50" i="11"/>
  <c r="H50" i="11"/>
  <c r="G50" i="11"/>
  <c r="F50" i="11"/>
  <c r="E50" i="11"/>
  <c r="D50" i="11"/>
  <c r="C50" i="11"/>
  <c r="B50" i="11"/>
  <c r="A50" i="11"/>
  <c r="S49" i="11"/>
  <c r="CM49" i="1" s="1"/>
  <c r="R49" i="11"/>
  <c r="CL49" i="1" s="1"/>
  <c r="Q49" i="11"/>
  <c r="CK49" i="1" s="1"/>
  <c r="P49" i="11"/>
  <c r="O49" i="11"/>
  <c r="M49" i="11"/>
  <c r="K49" i="11"/>
  <c r="I49" i="11"/>
  <c r="H49" i="11"/>
  <c r="G49" i="11"/>
  <c r="F49" i="11"/>
  <c r="E49" i="11"/>
  <c r="D49" i="11"/>
  <c r="C49" i="11"/>
  <c r="B49" i="11"/>
  <c r="A49" i="11"/>
  <c r="S48" i="11"/>
  <c r="CM48" i="1" s="1"/>
  <c r="R48" i="11"/>
  <c r="CL48" i="1" s="1"/>
  <c r="Q48" i="11"/>
  <c r="CK48" i="1" s="1"/>
  <c r="S47" i="11"/>
  <c r="CM47" i="1" s="1"/>
  <c r="R47" i="11"/>
  <c r="CL47" i="1" s="1"/>
  <c r="Q47" i="11"/>
  <c r="CK47" i="1" s="1"/>
  <c r="S46" i="11"/>
  <c r="CM46" i="1" s="1"/>
  <c r="R46" i="11"/>
  <c r="CL46" i="1" s="1"/>
  <c r="Q46" i="11"/>
  <c r="CK46" i="1" s="1"/>
  <c r="S44" i="11"/>
  <c r="CM44" i="1" s="1"/>
  <c r="R44" i="11"/>
  <c r="CL44" i="1" s="1"/>
  <c r="Q44" i="11"/>
  <c r="CK44" i="1" s="1"/>
  <c r="S43" i="11"/>
  <c r="CM43" i="1" s="1"/>
  <c r="R43" i="11"/>
  <c r="CL43" i="1" s="1"/>
  <c r="Q43" i="11"/>
  <c r="CK43" i="1" s="1"/>
  <c r="CM39" i="1"/>
  <c r="CL39" i="1"/>
  <c r="CK39" i="1"/>
  <c r="CM38" i="1"/>
  <c r="CL38" i="1"/>
  <c r="CK38" i="1"/>
  <c r="CM34" i="1"/>
  <c r="CL34" i="1"/>
  <c r="CK34" i="1"/>
  <c r="S32" i="11"/>
  <c r="R32" i="11"/>
  <c r="Q32" i="11"/>
  <c r="S31" i="11"/>
  <c r="CM31" i="1" s="1"/>
  <c r="R31" i="11"/>
  <c r="CL31" i="1" s="1"/>
  <c r="Q31" i="11"/>
  <c r="CK31" i="1" s="1"/>
  <c r="S30" i="11"/>
  <c r="CM30" i="1" s="1"/>
  <c r="R30" i="11"/>
  <c r="CL30" i="1" s="1"/>
  <c r="Q30" i="11"/>
  <c r="CK30" i="1" s="1"/>
  <c r="S29" i="11"/>
  <c r="CM29" i="1" s="1"/>
  <c r="R29" i="11"/>
  <c r="CL29" i="1" s="1"/>
  <c r="Q29" i="11"/>
  <c r="CK29" i="1" s="1"/>
  <c r="S28" i="11"/>
  <c r="CM28" i="1" s="1"/>
  <c r="R28" i="11"/>
  <c r="CL28" i="1" s="1"/>
  <c r="Q28" i="11"/>
  <c r="CK28" i="1" s="1"/>
  <c r="S27" i="11"/>
  <c r="CM27" i="1" s="1"/>
  <c r="R27" i="11"/>
  <c r="CL27" i="1" s="1"/>
  <c r="Q27" i="11"/>
  <c r="CK27" i="1" s="1"/>
  <c r="S25" i="11"/>
  <c r="CM25" i="1" s="1"/>
  <c r="R25" i="11"/>
  <c r="CL25" i="1" s="1"/>
  <c r="Q25" i="11"/>
  <c r="CK25" i="1" s="1"/>
  <c r="S24" i="11"/>
  <c r="CM24" i="1" s="1"/>
  <c r="R24" i="11"/>
  <c r="CL24" i="1" s="1"/>
  <c r="Q24" i="11"/>
  <c r="CK24" i="1" s="1"/>
  <c r="S23" i="11"/>
  <c r="CM23" i="1" s="1"/>
  <c r="R23" i="11"/>
  <c r="CL23" i="1" s="1"/>
  <c r="Q23" i="11"/>
  <c r="CK23" i="1" s="1"/>
  <c r="S22" i="11"/>
  <c r="CM22" i="1" s="1"/>
  <c r="R22" i="11"/>
  <c r="CL22" i="1" s="1"/>
  <c r="Q22" i="11"/>
  <c r="CK22" i="1" s="1"/>
  <c r="S21" i="11"/>
  <c r="CM21" i="1" s="1"/>
  <c r="R21" i="11"/>
  <c r="CL21" i="1" s="1"/>
  <c r="Q21" i="11"/>
  <c r="CK21" i="1" s="1"/>
  <c r="S20" i="11"/>
  <c r="CM20" i="1" s="1"/>
  <c r="R20" i="11"/>
  <c r="CL20" i="1" s="1"/>
  <c r="Q20" i="11"/>
  <c r="CK20" i="1" s="1"/>
  <c r="P20" i="11"/>
  <c r="O20" i="11"/>
  <c r="M20" i="11"/>
  <c r="K20" i="11"/>
  <c r="I20" i="11"/>
  <c r="H20" i="11"/>
  <c r="G20" i="11"/>
  <c r="F20" i="11"/>
  <c r="E20" i="11"/>
  <c r="D20" i="11"/>
  <c r="C20" i="11"/>
  <c r="B20" i="11"/>
  <c r="A20" i="11"/>
  <c r="I96" i="6"/>
  <c r="A78" i="6"/>
  <c r="B78" i="6"/>
  <c r="C78" i="6"/>
  <c r="D78" i="6"/>
  <c r="E78" i="6"/>
  <c r="F78" i="6"/>
  <c r="G78" i="6"/>
  <c r="H78" i="6"/>
  <c r="I78" i="6"/>
  <c r="K78" i="6"/>
  <c r="M78" i="6"/>
  <c r="O78" i="6"/>
  <c r="P78" i="6"/>
  <c r="Q78" i="6"/>
  <c r="R78" i="6"/>
  <c r="S78" i="6"/>
  <c r="AX78" i="1"/>
  <c r="AW78" i="1" s="1"/>
  <c r="AA78" i="1"/>
  <c r="Q78" i="1"/>
  <c r="N78" i="1"/>
  <c r="BW78" i="1" s="1"/>
  <c r="X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AB61" i="1"/>
  <c r="A63" i="6"/>
  <c r="B63" i="6"/>
  <c r="C63" i="6"/>
  <c r="D63" i="6"/>
  <c r="E63" i="6"/>
  <c r="F63" i="6"/>
  <c r="G63" i="6"/>
  <c r="H63" i="6"/>
  <c r="I63" i="6"/>
  <c r="K63" i="6"/>
  <c r="M63" i="6"/>
  <c r="O63" i="6"/>
  <c r="P63" i="6"/>
  <c r="Q63" i="6"/>
  <c r="R63" i="6"/>
  <c r="S63" i="6"/>
  <c r="A64" i="6"/>
  <c r="B64" i="6"/>
  <c r="C64" i="6"/>
  <c r="D64" i="6"/>
  <c r="E64" i="6"/>
  <c r="F64" i="6"/>
  <c r="G64" i="6"/>
  <c r="H64" i="6"/>
  <c r="I64" i="6"/>
  <c r="K64" i="6"/>
  <c r="M64" i="6"/>
  <c r="O64" i="6"/>
  <c r="P64" i="6"/>
  <c r="Q64" i="6"/>
  <c r="R64" i="6"/>
  <c r="S64" i="6"/>
  <c r="A65" i="6"/>
  <c r="B65" i="6"/>
  <c r="C65" i="6"/>
  <c r="D65" i="6"/>
  <c r="E65" i="6"/>
  <c r="F65" i="6"/>
  <c r="G65" i="6"/>
  <c r="H65" i="6"/>
  <c r="I65" i="6"/>
  <c r="K65" i="6"/>
  <c r="M65" i="6"/>
  <c r="O65" i="6"/>
  <c r="P65" i="6"/>
  <c r="Q65" i="6"/>
  <c r="R65" i="6"/>
  <c r="S65" i="6"/>
  <c r="A66" i="6"/>
  <c r="B66" i="6"/>
  <c r="C66" i="6"/>
  <c r="D66" i="6"/>
  <c r="E66" i="6"/>
  <c r="F66" i="6"/>
  <c r="G66" i="6"/>
  <c r="H66" i="6"/>
  <c r="I66" i="6"/>
  <c r="K66" i="6"/>
  <c r="M66" i="6"/>
  <c r="O66" i="6"/>
  <c r="P66" i="6"/>
  <c r="Q66" i="6"/>
  <c r="R66" i="6"/>
  <c r="S66" i="6"/>
  <c r="A67" i="6"/>
  <c r="B67" i="6"/>
  <c r="C67" i="6"/>
  <c r="D67" i="6"/>
  <c r="E67" i="6"/>
  <c r="F67" i="6"/>
  <c r="G67" i="6"/>
  <c r="H67" i="6"/>
  <c r="I67" i="6"/>
  <c r="K67" i="6"/>
  <c r="M67" i="6"/>
  <c r="O67" i="6"/>
  <c r="P67" i="6"/>
  <c r="Q67" i="6"/>
  <c r="R67" i="6"/>
  <c r="S67" i="6"/>
  <c r="A68" i="6"/>
  <c r="B68" i="6"/>
  <c r="C68" i="6"/>
  <c r="D68" i="6"/>
  <c r="E68" i="6"/>
  <c r="F68" i="6"/>
  <c r="G68" i="6"/>
  <c r="H68" i="6"/>
  <c r="I68" i="6"/>
  <c r="K68" i="6"/>
  <c r="M68" i="6"/>
  <c r="O68" i="6"/>
  <c r="P68" i="6"/>
  <c r="Q68" i="6"/>
  <c r="R68" i="6"/>
  <c r="S68" i="6"/>
  <c r="A71" i="6"/>
  <c r="B71" i="6"/>
  <c r="C71" i="6"/>
  <c r="D71" i="6"/>
  <c r="E71" i="6"/>
  <c r="F71" i="6"/>
  <c r="G71" i="6"/>
  <c r="H71" i="6"/>
  <c r="I71" i="6"/>
  <c r="K71" i="6"/>
  <c r="M71" i="6"/>
  <c r="O71" i="6"/>
  <c r="P71" i="6"/>
  <c r="Q71" i="6"/>
  <c r="R71" i="6"/>
  <c r="S71" i="6"/>
  <c r="A72" i="6"/>
  <c r="B72" i="6"/>
  <c r="C72" i="6"/>
  <c r="D72" i="6"/>
  <c r="E72" i="6"/>
  <c r="F72" i="6"/>
  <c r="G72" i="6"/>
  <c r="H72" i="6"/>
  <c r="I72" i="6"/>
  <c r="K72" i="6"/>
  <c r="M72" i="6"/>
  <c r="O72" i="6"/>
  <c r="P72" i="6"/>
  <c r="Q72" i="6"/>
  <c r="R72" i="6"/>
  <c r="S72" i="6"/>
  <c r="A73" i="6"/>
  <c r="B73" i="6"/>
  <c r="C73" i="6"/>
  <c r="D73" i="6"/>
  <c r="E73" i="6"/>
  <c r="F73" i="6"/>
  <c r="G73" i="6"/>
  <c r="H73" i="6"/>
  <c r="I73" i="6"/>
  <c r="K73" i="6"/>
  <c r="M73" i="6"/>
  <c r="O73" i="6"/>
  <c r="P73" i="6"/>
  <c r="Q73" i="6"/>
  <c r="R73" i="6"/>
  <c r="S73" i="6"/>
  <c r="A74" i="6"/>
  <c r="B74" i="6"/>
  <c r="C74" i="6"/>
  <c r="D74" i="6"/>
  <c r="E74" i="6"/>
  <c r="F74" i="6"/>
  <c r="G74" i="6"/>
  <c r="H74" i="6"/>
  <c r="I74" i="6"/>
  <c r="K74" i="6"/>
  <c r="M74" i="6"/>
  <c r="O74" i="6"/>
  <c r="P74" i="6"/>
  <c r="Q74" i="6"/>
  <c r="R74" i="6"/>
  <c r="S74" i="6"/>
  <c r="A75" i="6"/>
  <c r="B75" i="6"/>
  <c r="C75" i="6"/>
  <c r="D75" i="6"/>
  <c r="E75" i="6"/>
  <c r="F75" i="6"/>
  <c r="G75" i="6"/>
  <c r="H75" i="6"/>
  <c r="I75" i="6"/>
  <c r="K75" i="6"/>
  <c r="M75" i="6"/>
  <c r="O75" i="6"/>
  <c r="P75" i="6"/>
  <c r="Q75" i="6"/>
  <c r="R75" i="6"/>
  <c r="S75" i="6"/>
  <c r="A76" i="6"/>
  <c r="B76" i="6"/>
  <c r="C76" i="6"/>
  <c r="D76" i="6"/>
  <c r="E76" i="6"/>
  <c r="F76" i="6"/>
  <c r="G76" i="6"/>
  <c r="H76" i="6"/>
  <c r="I76" i="6"/>
  <c r="K76" i="6"/>
  <c r="M76" i="6"/>
  <c r="O76" i="6"/>
  <c r="P76" i="6"/>
  <c r="Q76" i="6"/>
  <c r="R76" i="6"/>
  <c r="S76" i="6"/>
  <c r="A77" i="6"/>
  <c r="B77" i="6"/>
  <c r="C77" i="6"/>
  <c r="D77" i="6"/>
  <c r="E77" i="6"/>
  <c r="F77" i="6"/>
  <c r="G77" i="6"/>
  <c r="H77" i="6"/>
  <c r="I77" i="6"/>
  <c r="K77" i="6"/>
  <c r="M77" i="6"/>
  <c r="O77" i="6"/>
  <c r="P77" i="6"/>
  <c r="Q77" i="6"/>
  <c r="R77" i="6"/>
  <c r="S77" i="6"/>
  <c r="A79" i="6"/>
  <c r="B79" i="6"/>
  <c r="C79" i="6"/>
  <c r="D79" i="6"/>
  <c r="G79" i="6"/>
  <c r="H79" i="6"/>
  <c r="I79" i="6"/>
  <c r="K79" i="6"/>
  <c r="M79" i="6"/>
  <c r="O79" i="6"/>
  <c r="P79" i="6"/>
  <c r="Q79" i="6"/>
  <c r="R79" i="6"/>
  <c r="S79" i="6"/>
  <c r="A54" i="6"/>
  <c r="B54" i="6"/>
  <c r="C54" i="6"/>
  <c r="D54" i="6"/>
  <c r="E54" i="6"/>
  <c r="F54" i="6"/>
  <c r="G54" i="6"/>
  <c r="H54" i="6"/>
  <c r="I54" i="6"/>
  <c r="K54" i="6"/>
  <c r="M54" i="6"/>
  <c r="O54" i="6"/>
  <c r="P54" i="6"/>
  <c r="Q54" i="6"/>
  <c r="R54" i="6"/>
  <c r="S54" i="6"/>
  <c r="A55" i="6"/>
  <c r="B55" i="6"/>
  <c r="C55" i="6"/>
  <c r="D55" i="6"/>
  <c r="E55" i="6"/>
  <c r="F55" i="6"/>
  <c r="G55" i="6"/>
  <c r="H55" i="6"/>
  <c r="I55" i="6"/>
  <c r="K55" i="6"/>
  <c r="M55" i="6"/>
  <c r="O55" i="6"/>
  <c r="P55" i="6"/>
  <c r="Q55" i="6"/>
  <c r="R55" i="6"/>
  <c r="S55" i="6"/>
  <c r="A56" i="6"/>
  <c r="B56" i="6"/>
  <c r="C56" i="6"/>
  <c r="D56" i="6"/>
  <c r="E56" i="6"/>
  <c r="F56" i="6"/>
  <c r="G56" i="6"/>
  <c r="H56" i="6"/>
  <c r="I56" i="6"/>
  <c r="K56" i="6"/>
  <c r="M56" i="6"/>
  <c r="O56" i="6"/>
  <c r="P56" i="6"/>
  <c r="Q56" i="6"/>
  <c r="R56" i="6"/>
  <c r="S56" i="6"/>
  <c r="A57" i="6"/>
  <c r="B57" i="6"/>
  <c r="C57" i="6"/>
  <c r="D57" i="6"/>
  <c r="G57" i="6"/>
  <c r="H57" i="6"/>
  <c r="I57" i="6"/>
  <c r="K57" i="6"/>
  <c r="M57" i="6"/>
  <c r="O57" i="6"/>
  <c r="P57" i="6"/>
  <c r="Q57" i="6"/>
  <c r="R57" i="6"/>
  <c r="S57" i="6"/>
  <c r="A58" i="6"/>
  <c r="B58" i="6"/>
  <c r="C58" i="6"/>
  <c r="D58" i="6"/>
  <c r="E58" i="6"/>
  <c r="F58" i="6"/>
  <c r="G58" i="6"/>
  <c r="H58" i="6"/>
  <c r="I58" i="6"/>
  <c r="K58" i="6"/>
  <c r="M58" i="6"/>
  <c r="O58" i="6"/>
  <c r="P58" i="6"/>
  <c r="Q58" i="6"/>
  <c r="R58" i="6"/>
  <c r="S58" i="6"/>
  <c r="A59" i="6"/>
  <c r="B59" i="6"/>
  <c r="C59" i="6"/>
  <c r="D59" i="6"/>
  <c r="E59" i="6"/>
  <c r="F59" i="6"/>
  <c r="G59" i="6"/>
  <c r="H59" i="6"/>
  <c r="I59" i="6"/>
  <c r="K59" i="6"/>
  <c r="M59" i="6"/>
  <c r="O59" i="6"/>
  <c r="P59" i="6"/>
  <c r="Q59" i="6"/>
  <c r="R59" i="6"/>
  <c r="S59" i="6"/>
  <c r="A60" i="6"/>
  <c r="B60" i="6"/>
  <c r="C60" i="6"/>
  <c r="D60" i="6"/>
  <c r="E60" i="6"/>
  <c r="F60" i="6"/>
  <c r="G60" i="6"/>
  <c r="H60" i="6"/>
  <c r="I60" i="6"/>
  <c r="K60" i="6"/>
  <c r="M60" i="6"/>
  <c r="O60" i="6"/>
  <c r="P60" i="6"/>
  <c r="Q60" i="6"/>
  <c r="R60" i="6"/>
  <c r="S60" i="6"/>
  <c r="AB80" i="1"/>
  <c r="AX79" i="1"/>
  <c r="AW79" i="1" s="1"/>
  <c r="AV79" i="1" s="1"/>
  <c r="AA79" i="1"/>
  <c r="Z79" i="1" s="1"/>
  <c r="Q79" i="1"/>
  <c r="N79" i="1"/>
  <c r="BW79" i="1" s="1"/>
  <c r="AX77" i="1"/>
  <c r="AW77" i="1" s="1"/>
  <c r="AV77" i="1" s="1"/>
  <c r="AA77" i="1"/>
  <c r="Z77" i="1" s="1"/>
  <c r="Q77" i="1"/>
  <c r="N77" i="1"/>
  <c r="BW77" i="1" s="1"/>
  <c r="Q57" i="1"/>
  <c r="Q58" i="1"/>
  <c r="D112" i="8"/>
  <c r="E112" i="8"/>
  <c r="F112" i="8"/>
  <c r="G112" i="8"/>
  <c r="H112" i="8"/>
  <c r="I112" i="8"/>
  <c r="J112" i="8"/>
  <c r="K112" i="8"/>
  <c r="L112" i="8"/>
  <c r="M112" i="8"/>
  <c r="N112" i="8"/>
  <c r="O112" i="8"/>
  <c r="P112" i="8"/>
  <c r="Q112" i="8"/>
  <c r="R112" i="8"/>
  <c r="S112" i="8"/>
  <c r="T112" i="8"/>
  <c r="U112" i="8"/>
  <c r="V112" i="8"/>
  <c r="W112" i="8"/>
  <c r="X112" i="8"/>
  <c r="Y112" i="8"/>
  <c r="Z112" i="8"/>
  <c r="AA112" i="8"/>
  <c r="AB112" i="8"/>
  <c r="AC112" i="8"/>
  <c r="AD112" i="8"/>
  <c r="AE112" i="8"/>
  <c r="AF112" i="8"/>
  <c r="AG112" i="8"/>
  <c r="AH112" i="8"/>
  <c r="C112" i="8"/>
  <c r="D88" i="8"/>
  <c r="E88" i="8"/>
  <c r="F88" i="8"/>
  <c r="G88" i="8"/>
  <c r="H88" i="8"/>
  <c r="I88" i="8"/>
  <c r="J88" i="8"/>
  <c r="K88" i="8"/>
  <c r="L88" i="8"/>
  <c r="M88" i="8"/>
  <c r="N88" i="8"/>
  <c r="O88" i="8"/>
  <c r="P88" i="8"/>
  <c r="Q88" i="8"/>
  <c r="R88" i="8"/>
  <c r="S88" i="8"/>
  <c r="T88" i="8"/>
  <c r="U88" i="8"/>
  <c r="V88" i="8"/>
  <c r="W88" i="8"/>
  <c r="X88" i="8"/>
  <c r="Y88" i="8"/>
  <c r="Z88" i="8"/>
  <c r="AA88" i="8"/>
  <c r="AB88" i="8"/>
  <c r="AC88" i="8"/>
  <c r="AD88" i="8"/>
  <c r="AE88" i="8"/>
  <c r="AF88" i="8"/>
  <c r="AG88" i="8"/>
  <c r="AH88" i="8"/>
  <c r="AI88" i="8"/>
  <c r="C88" i="8"/>
  <c r="AX57" i="1"/>
  <c r="AW57" i="1" s="1"/>
  <c r="AA57" i="1"/>
  <c r="N57" i="1"/>
  <c r="BW57" i="1" s="1"/>
  <c r="BY57" i="1" s="1"/>
  <c r="H60" i="8"/>
  <c r="G60" i="8"/>
  <c r="A87" i="6"/>
  <c r="B87" i="6"/>
  <c r="C87" i="6"/>
  <c r="D87" i="6"/>
  <c r="E87" i="6"/>
  <c r="F87" i="6"/>
  <c r="G87" i="6"/>
  <c r="H87" i="6"/>
  <c r="I87" i="6"/>
  <c r="K87" i="6"/>
  <c r="M87" i="6"/>
  <c r="O87" i="6"/>
  <c r="P87" i="6"/>
  <c r="Q87" i="6"/>
  <c r="R87" i="6"/>
  <c r="S87" i="6"/>
  <c r="A50" i="6"/>
  <c r="B50" i="6"/>
  <c r="C50" i="6"/>
  <c r="D50" i="6"/>
  <c r="E50" i="6"/>
  <c r="F50" i="6"/>
  <c r="G50" i="6"/>
  <c r="H50" i="6"/>
  <c r="I50" i="6"/>
  <c r="K50" i="6"/>
  <c r="M50" i="6"/>
  <c r="O50" i="6"/>
  <c r="P50" i="6"/>
  <c r="Q50" i="6"/>
  <c r="R50" i="6"/>
  <c r="S50" i="6"/>
  <c r="AX87" i="1"/>
  <c r="AW87" i="1" s="1"/>
  <c r="AV87" i="1" s="1"/>
  <c r="AA87" i="1"/>
  <c r="Q87" i="1"/>
  <c r="N87" i="1"/>
  <c r="BW87" i="1" s="1"/>
  <c r="AX50" i="1"/>
  <c r="AW50" i="1" s="1"/>
  <c r="AV50" i="1" s="1"/>
  <c r="AA50" i="1"/>
  <c r="Z50" i="1" s="1"/>
  <c r="Q50" i="1"/>
  <c r="N50" i="1"/>
  <c r="BW50" i="1" s="1"/>
  <c r="AX66" i="1"/>
  <c r="AW66" i="1" s="1"/>
  <c r="AV66" i="1" s="1"/>
  <c r="AA66" i="1"/>
  <c r="Z66" i="1" s="1"/>
  <c r="N66" i="1"/>
  <c r="BW66" i="1" s="1"/>
  <c r="CH124" i="6"/>
  <c r="CH125" i="6" s="1"/>
  <c r="CG124" i="6"/>
  <c r="CG125" i="6" s="1"/>
  <c r="CF124" i="6"/>
  <c r="CF125" i="6" s="1"/>
  <c r="CE124" i="6"/>
  <c r="CE125" i="6" s="1"/>
  <c r="I106" i="6"/>
  <c r="D58" i="8"/>
  <c r="C58" i="8"/>
  <c r="U41" i="1" l="1"/>
  <c r="N37" i="11"/>
  <c r="N34" i="11"/>
  <c r="N39" i="11"/>
  <c r="N38" i="11"/>
  <c r="N35" i="11"/>
  <c r="CK32" i="1"/>
  <c r="CL32" i="1"/>
  <c r="CM32" i="1"/>
  <c r="O45" i="17"/>
  <c r="O44" i="17"/>
  <c r="O43" i="17"/>
  <c r="N45" i="17"/>
  <c r="N44" i="17"/>
  <c r="N43" i="17"/>
  <c r="N21" i="17"/>
  <c r="N31" i="11"/>
  <c r="N20" i="17"/>
  <c r="BW31" i="1"/>
  <c r="BY31" i="1" s="1"/>
  <c r="BZ31" i="1" s="1"/>
  <c r="K21" i="17"/>
  <c r="K20" i="17"/>
  <c r="BW34" i="1"/>
  <c r="BY34" i="1" s="1"/>
  <c r="CD34" i="1" s="1"/>
  <c r="O23" i="17"/>
  <c r="O22" i="17"/>
  <c r="BW32" i="1"/>
  <c r="BY32" i="1" s="1"/>
  <c r="CA32" i="1" s="1"/>
  <c r="K23" i="17"/>
  <c r="K22" i="17"/>
  <c r="O21" i="17"/>
  <c r="O20" i="17"/>
  <c r="N22" i="17"/>
  <c r="N23" i="17"/>
  <c r="Z87" i="1"/>
  <c r="L87" i="11" s="1"/>
  <c r="N87" i="11"/>
  <c r="BQ108" i="1"/>
  <c r="BR108" i="1" s="1"/>
  <c r="BQ26" i="1"/>
  <c r="BR26" i="1" s="1"/>
  <c r="U26" i="1"/>
  <c r="BY79" i="1"/>
  <c r="CA79" i="1" s="1"/>
  <c r="BY39" i="1"/>
  <c r="CC39" i="1" s="1"/>
  <c r="BY87" i="1"/>
  <c r="CE87" i="1" s="1"/>
  <c r="CD57" i="1"/>
  <c r="BY38" i="1"/>
  <c r="BZ38" i="1" s="1"/>
  <c r="BY78" i="1"/>
  <c r="CD78" i="1" s="1"/>
  <c r="BY66" i="1"/>
  <c r="CC66" i="1" s="1"/>
  <c r="BY37" i="1"/>
  <c r="CA37" i="1" s="1"/>
  <c r="BZ35" i="1"/>
  <c r="CB35" i="1"/>
  <c r="CC35" i="1"/>
  <c r="CE35" i="1"/>
  <c r="CA35" i="1"/>
  <c r="CA57" i="1"/>
  <c r="CB57" i="1"/>
  <c r="CE57" i="1"/>
  <c r="BZ57" i="1"/>
  <c r="CC57" i="1"/>
  <c r="CD35" i="1"/>
  <c r="BY50" i="1"/>
  <c r="CB50" i="1" s="1"/>
  <c r="BY77" i="1"/>
  <c r="BZ77" i="1" s="1"/>
  <c r="BQ40" i="1"/>
  <c r="Z39" i="1"/>
  <c r="L39" i="11" s="1"/>
  <c r="N39" i="6"/>
  <c r="Z38" i="1"/>
  <c r="N38" i="6"/>
  <c r="Z37" i="1"/>
  <c r="N37" i="6"/>
  <c r="Z35" i="1"/>
  <c r="N36" i="6"/>
  <c r="N35" i="6"/>
  <c r="Z34" i="1"/>
  <c r="N34" i="6"/>
  <c r="N33" i="6"/>
  <c r="Z32" i="1"/>
  <c r="N32" i="6"/>
  <c r="N32" i="11"/>
  <c r="Z31" i="1"/>
  <c r="O31" i="1" s="1"/>
  <c r="N31" i="6"/>
  <c r="N41" i="6"/>
  <c r="N40" i="6"/>
  <c r="Q42" i="11"/>
  <c r="CK42" i="1" s="1"/>
  <c r="R42" i="11"/>
  <c r="CL42" i="1" s="1"/>
  <c r="S42" i="11"/>
  <c r="CM42" i="1" s="1"/>
  <c r="P34" i="1"/>
  <c r="P39" i="1"/>
  <c r="AW34" i="1"/>
  <c r="AV34" i="1" s="1"/>
  <c r="P32" i="1"/>
  <c r="P38" i="1"/>
  <c r="P37" i="1"/>
  <c r="P31" i="1"/>
  <c r="P35" i="1"/>
  <c r="L52" i="6"/>
  <c r="P78" i="1"/>
  <c r="N52" i="6"/>
  <c r="L50" i="11"/>
  <c r="L77" i="11"/>
  <c r="L79" i="11"/>
  <c r="L66" i="11"/>
  <c r="K61" i="11"/>
  <c r="N66" i="11"/>
  <c r="N77" i="11"/>
  <c r="P57" i="1"/>
  <c r="N57" i="11"/>
  <c r="M80" i="11"/>
  <c r="N78" i="11"/>
  <c r="N79" i="11"/>
  <c r="M122" i="11"/>
  <c r="K123" i="11"/>
  <c r="M123" i="11"/>
  <c r="O123" i="11"/>
  <c r="M61" i="11"/>
  <c r="P123" i="11"/>
  <c r="N78" i="6"/>
  <c r="N50" i="11"/>
  <c r="M104" i="11"/>
  <c r="R122" i="11"/>
  <c r="CL122" i="1" s="1"/>
  <c r="S122" i="11"/>
  <c r="CM122" i="1" s="1"/>
  <c r="R123" i="11"/>
  <c r="CL123" i="1" s="1"/>
  <c r="S123" i="11"/>
  <c r="CM123" i="1" s="1"/>
  <c r="Q61" i="11"/>
  <c r="CK61" i="1" s="1"/>
  <c r="S61" i="11"/>
  <c r="CM61" i="1" s="1"/>
  <c r="Q104" i="11"/>
  <c r="CK104" i="1" s="1"/>
  <c r="Q123" i="11"/>
  <c r="CK123" i="1" s="1"/>
  <c r="R104" i="11"/>
  <c r="CL104" i="1" s="1"/>
  <c r="S104" i="11"/>
  <c r="CM104" i="1" s="1"/>
  <c r="Q122" i="11"/>
  <c r="CK122" i="1" s="1"/>
  <c r="Q80" i="11"/>
  <c r="CK80" i="1" s="1"/>
  <c r="R80" i="11"/>
  <c r="CL80" i="1" s="1"/>
  <c r="R61" i="11"/>
  <c r="CL61" i="1" s="1"/>
  <c r="S80" i="11"/>
  <c r="CM80" i="1" s="1"/>
  <c r="L77" i="6"/>
  <c r="Z78" i="1"/>
  <c r="O78" i="1" s="1"/>
  <c r="R78" i="1" s="1"/>
  <c r="AV78" i="1"/>
  <c r="N79" i="6"/>
  <c r="N77" i="6"/>
  <c r="L79" i="6"/>
  <c r="N66" i="6"/>
  <c r="L66" i="6"/>
  <c r="N57" i="6"/>
  <c r="P79" i="1"/>
  <c r="Z57" i="1"/>
  <c r="L57" i="11" s="1"/>
  <c r="Y79" i="1"/>
  <c r="J79" i="11" s="1"/>
  <c r="O79" i="1"/>
  <c r="S79" i="1" s="1"/>
  <c r="Y77" i="1"/>
  <c r="J77" i="11" s="1"/>
  <c r="O77" i="1"/>
  <c r="T77" i="1" s="1"/>
  <c r="P77" i="1"/>
  <c r="N87" i="6"/>
  <c r="AV57" i="1"/>
  <c r="N50" i="6"/>
  <c r="L50" i="6"/>
  <c r="P87" i="1"/>
  <c r="Y50" i="1"/>
  <c r="J50" i="11" s="1"/>
  <c r="O50" i="1"/>
  <c r="S50" i="1" s="1"/>
  <c r="P50" i="1"/>
  <c r="Y66" i="1"/>
  <c r="J66" i="11" s="1"/>
  <c r="O66" i="1"/>
  <c r="P66" i="1"/>
  <c r="R66" i="1" l="1"/>
  <c r="S66" i="1"/>
  <c r="O87" i="1"/>
  <c r="T87" i="1" s="1"/>
  <c r="O38" i="1"/>
  <c r="R38" i="1" s="1"/>
  <c r="L38" i="11"/>
  <c r="L34" i="11"/>
  <c r="O35" i="1"/>
  <c r="R35" i="1" s="1"/>
  <c r="L35" i="11"/>
  <c r="O37" i="1"/>
  <c r="S37" i="1" s="1"/>
  <c r="L37" i="11"/>
  <c r="O46" i="17"/>
  <c r="Y87" i="1"/>
  <c r="J87" i="11" s="1"/>
  <c r="N46" i="17"/>
  <c r="T31" i="1"/>
  <c r="L20" i="17"/>
  <c r="L21" i="17"/>
  <c r="L87" i="6"/>
  <c r="K24" i="17"/>
  <c r="O24" i="17"/>
  <c r="N24" i="17"/>
  <c r="CD38" i="1"/>
  <c r="CC31" i="1"/>
  <c r="CB31" i="1"/>
  <c r="CA31" i="1"/>
  <c r="CB39" i="1"/>
  <c r="CD79" i="1"/>
  <c r="CD77" i="1"/>
  <c r="CA78" i="1"/>
  <c r="CD66" i="1"/>
  <c r="CE50" i="1"/>
  <c r="BZ39" i="1"/>
  <c r="CB78" i="1"/>
  <c r="CE78" i="1"/>
  <c r="CD50" i="1"/>
  <c r="CC87" i="1"/>
  <c r="CC50" i="1"/>
  <c r="BZ50" i="1"/>
  <c r="CD37" i="1"/>
  <c r="CC79" i="1"/>
  <c r="CE38" i="1"/>
  <c r="BZ79" i="1"/>
  <c r="BZ34" i="1"/>
  <c r="CB79" i="1"/>
  <c r="CB34" i="1"/>
  <c r="CA87" i="1"/>
  <c r="CD87" i="1"/>
  <c r="BZ87" i="1"/>
  <c r="CE79" i="1"/>
  <c r="CC37" i="1"/>
  <c r="CD31" i="1"/>
  <c r="CB87" i="1"/>
  <c r="CE77" i="1"/>
  <c r="CE37" i="1"/>
  <c r="CA34" i="1"/>
  <c r="CB77" i="1"/>
  <c r="BZ37" i="1"/>
  <c r="CD39" i="1"/>
  <c r="CE34" i="1"/>
  <c r="CB37" i="1"/>
  <c r="CJ37" i="1" s="1"/>
  <c r="CD32" i="1"/>
  <c r="CC34" i="1"/>
  <c r="CE31" i="1"/>
  <c r="CI57" i="1"/>
  <c r="CF57" i="1"/>
  <c r="BZ78" i="1"/>
  <c r="CB32" i="1"/>
  <c r="CJ32" i="1" s="1"/>
  <c r="CC77" i="1"/>
  <c r="CC78" i="1"/>
  <c r="CE39" i="1"/>
  <c r="BZ32" i="1"/>
  <c r="CE32" i="1"/>
  <c r="CB66" i="1"/>
  <c r="CA77" i="1"/>
  <c r="BZ66" i="1"/>
  <c r="CA39" i="1"/>
  <c r="CI35" i="1"/>
  <c r="CF35" i="1"/>
  <c r="CJ57" i="1"/>
  <c r="CJ35" i="1"/>
  <c r="CA66" i="1"/>
  <c r="CB38" i="1"/>
  <c r="CA50" i="1"/>
  <c r="CJ50" i="1" s="1"/>
  <c r="CE66" i="1"/>
  <c r="CA38" i="1"/>
  <c r="CC32" i="1"/>
  <c r="CC38" i="1"/>
  <c r="S38" i="1"/>
  <c r="S77" i="1"/>
  <c r="S31" i="1"/>
  <c r="S78" i="1"/>
  <c r="R79" i="1"/>
  <c r="Y34" i="1"/>
  <c r="L34" i="6"/>
  <c r="L35" i="6"/>
  <c r="L41" i="6"/>
  <c r="Y31" i="1"/>
  <c r="L31" i="11"/>
  <c r="L31" i="6"/>
  <c r="Y32" i="1"/>
  <c r="J32" i="11" s="1"/>
  <c r="L32" i="11"/>
  <c r="L32" i="6"/>
  <c r="Y35" i="1"/>
  <c r="J35" i="11" s="1"/>
  <c r="L36" i="6"/>
  <c r="Y38" i="1"/>
  <c r="J38" i="11" s="1"/>
  <c r="L38" i="6"/>
  <c r="O32" i="1"/>
  <c r="L40" i="6"/>
  <c r="L33" i="6"/>
  <c r="Y37" i="1"/>
  <c r="J37" i="11" s="1"/>
  <c r="L37" i="6"/>
  <c r="Y39" i="1"/>
  <c r="L39" i="6"/>
  <c r="O34" i="1"/>
  <c r="R31" i="1"/>
  <c r="O39" i="1"/>
  <c r="S39" i="1" s="1"/>
  <c r="J52" i="6"/>
  <c r="Y78" i="1"/>
  <c r="M78" i="1" s="1"/>
  <c r="U78" i="1" s="1"/>
  <c r="L78" i="11"/>
  <c r="L78" i="6"/>
  <c r="T78" i="1"/>
  <c r="J66" i="6"/>
  <c r="R50" i="1"/>
  <c r="M79" i="1"/>
  <c r="U79" i="1" s="1"/>
  <c r="J79" i="6"/>
  <c r="M77" i="1"/>
  <c r="U77" i="1" s="1"/>
  <c r="J77" i="6"/>
  <c r="Y57" i="1"/>
  <c r="J57" i="11" s="1"/>
  <c r="L57" i="6"/>
  <c r="O57" i="1"/>
  <c r="S57" i="1" s="1"/>
  <c r="T79" i="1"/>
  <c r="R77" i="1"/>
  <c r="M66" i="1"/>
  <c r="U66" i="1" s="1"/>
  <c r="M50" i="1"/>
  <c r="U50" i="1" s="1"/>
  <c r="J50" i="6"/>
  <c r="T50" i="1"/>
  <c r="T66" i="1"/>
  <c r="D50" i="8"/>
  <c r="C50" i="8"/>
  <c r="BO122" i="6"/>
  <c r="BP122" i="6"/>
  <c r="BO104" i="6"/>
  <c r="BP104" i="6"/>
  <c r="BO80" i="6"/>
  <c r="BP80" i="6"/>
  <c r="BO61" i="6"/>
  <c r="BP61" i="6"/>
  <c r="B117" i="6"/>
  <c r="C117" i="6"/>
  <c r="D117" i="6"/>
  <c r="E117" i="6"/>
  <c r="F117" i="6"/>
  <c r="G117" i="6"/>
  <c r="H117" i="6"/>
  <c r="I117" i="6"/>
  <c r="K117" i="6"/>
  <c r="M117" i="6"/>
  <c r="O117" i="6"/>
  <c r="P117" i="6"/>
  <c r="Q117" i="6"/>
  <c r="R117" i="6"/>
  <c r="S117" i="6"/>
  <c r="B118" i="6"/>
  <c r="C118" i="6"/>
  <c r="D118" i="6"/>
  <c r="E118" i="6"/>
  <c r="F118" i="6"/>
  <c r="G118" i="6"/>
  <c r="H118" i="6"/>
  <c r="I118" i="6"/>
  <c r="K118" i="6"/>
  <c r="M118" i="6"/>
  <c r="O118" i="6"/>
  <c r="P118" i="6"/>
  <c r="Q118" i="6"/>
  <c r="R118" i="6"/>
  <c r="S118" i="6"/>
  <c r="B120" i="6"/>
  <c r="C120" i="6"/>
  <c r="D120" i="6"/>
  <c r="E120" i="6"/>
  <c r="F120" i="6"/>
  <c r="G120" i="6"/>
  <c r="H120" i="6"/>
  <c r="I120" i="6"/>
  <c r="K120" i="6"/>
  <c r="M120" i="6"/>
  <c r="O120" i="6"/>
  <c r="P120" i="6"/>
  <c r="Q120" i="6"/>
  <c r="R120" i="6"/>
  <c r="S120" i="6"/>
  <c r="B121" i="6"/>
  <c r="C121" i="6"/>
  <c r="D121" i="6"/>
  <c r="E121" i="6"/>
  <c r="F121" i="6"/>
  <c r="G121" i="6"/>
  <c r="H121" i="6"/>
  <c r="I121" i="6"/>
  <c r="K121" i="6"/>
  <c r="M121" i="6"/>
  <c r="O121" i="6"/>
  <c r="P121" i="6"/>
  <c r="Q121" i="6"/>
  <c r="R121" i="6"/>
  <c r="S121" i="6"/>
  <c r="K106" i="6"/>
  <c r="M106" i="6"/>
  <c r="K107" i="6"/>
  <c r="M107" i="6"/>
  <c r="K108" i="6"/>
  <c r="M108" i="6"/>
  <c r="K109" i="6"/>
  <c r="M109" i="6"/>
  <c r="K110" i="6"/>
  <c r="M110" i="6"/>
  <c r="K111" i="6"/>
  <c r="M111" i="6"/>
  <c r="K112" i="6"/>
  <c r="M112" i="6"/>
  <c r="K113" i="6"/>
  <c r="M113" i="6"/>
  <c r="K114" i="6"/>
  <c r="M114" i="6"/>
  <c r="K115" i="6"/>
  <c r="M115" i="6"/>
  <c r="K116" i="6"/>
  <c r="M116" i="6"/>
  <c r="M105" i="6"/>
  <c r="K105" i="6"/>
  <c r="T122" i="6"/>
  <c r="U122" i="6"/>
  <c r="V122" i="6"/>
  <c r="W122" i="6"/>
  <c r="X122" i="6"/>
  <c r="Y122" i="6"/>
  <c r="Z122" i="6"/>
  <c r="AA122" i="6"/>
  <c r="AB122" i="6"/>
  <c r="AC122" i="6"/>
  <c r="AD122" i="6"/>
  <c r="AE122" i="6"/>
  <c r="O106" i="6"/>
  <c r="O107" i="6"/>
  <c r="O108" i="6"/>
  <c r="O109" i="6"/>
  <c r="O110" i="6"/>
  <c r="O111" i="6"/>
  <c r="O112" i="6"/>
  <c r="O113" i="6"/>
  <c r="O114" i="6"/>
  <c r="O115" i="6"/>
  <c r="O116" i="6"/>
  <c r="K96" i="6"/>
  <c r="M96" i="6"/>
  <c r="O96" i="6"/>
  <c r="A101" i="6"/>
  <c r="B101" i="6"/>
  <c r="C101" i="6"/>
  <c r="D101" i="6"/>
  <c r="E101" i="6"/>
  <c r="F101" i="6"/>
  <c r="G101" i="6"/>
  <c r="H101" i="6"/>
  <c r="I101" i="6"/>
  <c r="K101" i="6"/>
  <c r="M101" i="6"/>
  <c r="O101" i="6"/>
  <c r="P101" i="6"/>
  <c r="Q101" i="6"/>
  <c r="R101" i="6"/>
  <c r="S101" i="6"/>
  <c r="A103" i="6"/>
  <c r="B103" i="6"/>
  <c r="C103" i="6"/>
  <c r="D103" i="6"/>
  <c r="E103" i="6"/>
  <c r="F103" i="6"/>
  <c r="G103" i="6"/>
  <c r="H103" i="6"/>
  <c r="I103" i="6"/>
  <c r="K103" i="6"/>
  <c r="M103" i="6"/>
  <c r="O103" i="6"/>
  <c r="P103" i="6"/>
  <c r="R103" i="6"/>
  <c r="S103" i="6"/>
  <c r="T35" i="1" l="1"/>
  <c r="S35" i="1"/>
  <c r="R87" i="1"/>
  <c r="S87" i="1"/>
  <c r="T38" i="1"/>
  <c r="M34" i="1"/>
  <c r="U34" i="1" s="1"/>
  <c r="J34" i="11"/>
  <c r="T37" i="1"/>
  <c r="R37" i="1"/>
  <c r="M39" i="1"/>
  <c r="U39" i="1" s="1"/>
  <c r="J39" i="11"/>
  <c r="J87" i="6"/>
  <c r="M87" i="1"/>
  <c r="U87" i="1" s="1"/>
  <c r="S32" i="1"/>
  <c r="L22" i="17"/>
  <c r="L23" i="17"/>
  <c r="S34" i="1"/>
  <c r="CJ39" i="1"/>
  <c r="CJ31" i="1"/>
  <c r="CJ78" i="1"/>
  <c r="CI34" i="1"/>
  <c r="CJ87" i="1"/>
  <c r="CF34" i="1"/>
  <c r="CF79" i="1"/>
  <c r="CI79" i="1"/>
  <c r="CJ79" i="1"/>
  <c r="CF31" i="1"/>
  <c r="CF87" i="1"/>
  <c r="CF37" i="1"/>
  <c r="CI31" i="1"/>
  <c r="CI87" i="1"/>
  <c r="CI37" i="1"/>
  <c r="CJ38" i="1"/>
  <c r="CJ77" i="1"/>
  <c r="CJ34" i="1"/>
  <c r="CI38" i="1"/>
  <c r="CI66" i="1"/>
  <c r="CF66" i="1"/>
  <c r="CI78" i="1"/>
  <c r="CF78" i="1"/>
  <c r="CF50" i="1"/>
  <c r="CI50" i="1"/>
  <c r="CJ66" i="1"/>
  <c r="CF77" i="1"/>
  <c r="CI32" i="1"/>
  <c r="CF32" i="1"/>
  <c r="CF38" i="1"/>
  <c r="CF39" i="1"/>
  <c r="CI39" i="1"/>
  <c r="CI77" i="1"/>
  <c r="R34" i="1"/>
  <c r="T32" i="1"/>
  <c r="R57" i="1"/>
  <c r="R32" i="1"/>
  <c r="J38" i="6"/>
  <c r="M38" i="1"/>
  <c r="U38" i="1" s="1"/>
  <c r="J33" i="6"/>
  <c r="J37" i="6"/>
  <c r="M37" i="1"/>
  <c r="U37" i="1" s="1"/>
  <c r="J32" i="6"/>
  <c r="M32" i="1"/>
  <c r="J31" i="6"/>
  <c r="J31" i="11"/>
  <c r="M31" i="1"/>
  <c r="BQ79" i="1"/>
  <c r="BR79" i="1" s="1"/>
  <c r="J40" i="6"/>
  <c r="J41" i="6"/>
  <c r="J35" i="6"/>
  <c r="BQ50" i="1"/>
  <c r="BR50" i="1" s="1"/>
  <c r="BQ78" i="1"/>
  <c r="BR78" i="1" s="1"/>
  <c r="J39" i="6"/>
  <c r="J36" i="6"/>
  <c r="M35" i="1"/>
  <c r="U35" i="1" s="1"/>
  <c r="J34" i="6"/>
  <c r="BQ66" i="1"/>
  <c r="BR66" i="1" s="1"/>
  <c r="T34" i="1"/>
  <c r="T39" i="1"/>
  <c r="R39" i="1"/>
  <c r="M57" i="1"/>
  <c r="U57" i="1" s="1"/>
  <c r="J78" i="11"/>
  <c r="J78" i="6"/>
  <c r="BQ77" i="1"/>
  <c r="BR77" i="1" s="1"/>
  <c r="J57" i="6"/>
  <c r="T57" i="1"/>
  <c r="M122" i="6"/>
  <c r="BQ87" i="1" l="1"/>
  <c r="BR87" i="1" s="1"/>
  <c r="L24" i="17"/>
  <c r="U32" i="1"/>
  <c r="J23" i="17"/>
  <c r="J22" i="17"/>
  <c r="U31" i="1"/>
  <c r="J20" i="17"/>
  <c r="J21" i="17"/>
  <c r="BQ32" i="1"/>
  <c r="BR32" i="1" s="1"/>
  <c r="BQ57" i="1"/>
  <c r="BR57" i="1" s="1"/>
  <c r="N22" i="8"/>
  <c r="O22" i="8"/>
  <c r="P22" i="8"/>
  <c r="Q22" i="8"/>
  <c r="R22" i="8"/>
  <c r="M22" i="8"/>
  <c r="N21" i="8"/>
  <c r="O21" i="8"/>
  <c r="P21" i="8"/>
  <c r="Q21" i="8"/>
  <c r="R21" i="8"/>
  <c r="M21" i="8"/>
  <c r="E26" i="8"/>
  <c r="D26" i="8"/>
  <c r="F26" i="8"/>
  <c r="G26" i="8"/>
  <c r="H26" i="8"/>
  <c r="C26" i="8"/>
  <c r="D25" i="8"/>
  <c r="E25" i="8"/>
  <c r="F25" i="8"/>
  <c r="G25" i="8"/>
  <c r="H25" i="8"/>
  <c r="C25" i="8"/>
  <c r="Q55" i="1"/>
  <c r="F34" i="3"/>
  <c r="F33" i="3"/>
  <c r="F19" i="3"/>
  <c r="F18" i="3"/>
  <c r="O165" i="1"/>
  <c r="O150" i="1"/>
  <c r="AX121" i="1"/>
  <c r="AX106" i="1"/>
  <c r="AW106" i="1" s="1"/>
  <c r="AX107" i="1"/>
  <c r="AW107" i="1" s="1"/>
  <c r="AV107" i="1" s="1"/>
  <c r="AX109" i="1"/>
  <c r="AW109" i="1" s="1"/>
  <c r="AV109" i="1" s="1"/>
  <c r="AX105" i="1"/>
  <c r="AW105" i="1" s="1"/>
  <c r="AV105" i="1" s="1"/>
  <c r="AX94" i="1"/>
  <c r="AW94" i="1" s="1"/>
  <c r="AX95" i="1"/>
  <c r="AW95" i="1" s="1"/>
  <c r="AV95" i="1" s="1"/>
  <c r="AX86" i="1"/>
  <c r="AW86" i="1" s="1"/>
  <c r="AV86" i="1" s="1"/>
  <c r="AX96" i="1"/>
  <c r="AW96" i="1" s="1"/>
  <c r="AV96" i="1" s="1"/>
  <c r="AX72" i="1"/>
  <c r="AX73" i="1"/>
  <c r="AW73" i="1" s="1"/>
  <c r="AV73" i="1" s="1"/>
  <c r="AX68" i="1"/>
  <c r="AW68" i="1" s="1"/>
  <c r="AV68" i="1" s="1"/>
  <c r="AX64" i="1"/>
  <c r="AW64" i="1" s="1"/>
  <c r="AV64" i="1" s="1"/>
  <c r="AX67" i="1"/>
  <c r="AX70" i="1"/>
  <c r="AW70" i="1" s="1"/>
  <c r="AV70" i="1" s="1"/>
  <c r="AX71" i="1"/>
  <c r="AW71" i="1" s="1"/>
  <c r="AX75" i="1"/>
  <c r="AX65" i="1"/>
  <c r="AW65" i="1" s="1"/>
  <c r="AX74" i="1"/>
  <c r="AW74" i="1" s="1"/>
  <c r="AV74" i="1" s="1"/>
  <c r="AX76" i="1"/>
  <c r="AW76" i="1" s="1"/>
  <c r="AV76" i="1" s="1"/>
  <c r="AX63" i="1"/>
  <c r="AW63" i="1" s="1"/>
  <c r="AV63" i="1" s="1"/>
  <c r="AX62" i="1"/>
  <c r="AW62" i="1" s="1"/>
  <c r="AV62" i="1" s="1"/>
  <c r="AX69" i="1"/>
  <c r="AW69" i="1" s="1"/>
  <c r="AX59" i="1"/>
  <c r="AW59" i="1" s="1"/>
  <c r="AV59" i="1" s="1"/>
  <c r="AX54" i="1"/>
  <c r="AW54" i="1" s="1"/>
  <c r="AV54" i="1" s="1"/>
  <c r="AX52" i="1"/>
  <c r="AW52" i="1" s="1"/>
  <c r="AV52" i="1" s="1"/>
  <c r="AX43" i="1"/>
  <c r="AX55" i="1"/>
  <c r="AW55" i="1" s="1"/>
  <c r="AV55" i="1" s="1"/>
  <c r="AX47" i="1"/>
  <c r="AW47" i="1" s="1"/>
  <c r="AV47" i="1" s="1"/>
  <c r="AX53" i="1"/>
  <c r="AW53" i="1" s="1"/>
  <c r="AV53" i="1" s="1"/>
  <c r="AX49" i="1"/>
  <c r="AW49" i="1" s="1"/>
  <c r="AV49" i="1" s="1"/>
  <c r="AX44" i="1"/>
  <c r="AW44" i="1" s="1"/>
  <c r="AV44" i="1" s="1"/>
  <c r="AX60" i="1"/>
  <c r="AW60" i="1" s="1"/>
  <c r="AV60" i="1" s="1"/>
  <c r="AX48" i="1"/>
  <c r="AW48" i="1" s="1"/>
  <c r="AV48" i="1" s="1"/>
  <c r="AX46" i="1"/>
  <c r="AW46" i="1" s="1"/>
  <c r="AV46" i="1" s="1"/>
  <c r="AX58" i="1"/>
  <c r="AX56" i="1"/>
  <c r="AW56" i="1" s="1"/>
  <c r="AX21" i="1"/>
  <c r="AW21" i="1" s="1"/>
  <c r="AV21" i="1" s="1"/>
  <c r="AX20" i="1"/>
  <c r="AW20" i="1" s="1"/>
  <c r="AV20" i="1" s="1"/>
  <c r="AX30" i="1"/>
  <c r="AW30" i="1" s="1"/>
  <c r="AV30" i="1" s="1"/>
  <c r="AX27" i="1"/>
  <c r="AW27" i="1" s="1"/>
  <c r="AX23" i="1"/>
  <c r="AW23" i="1" s="1"/>
  <c r="AV23" i="1" s="1"/>
  <c r="AX22" i="1"/>
  <c r="AW22" i="1" s="1"/>
  <c r="AV22" i="1" s="1"/>
  <c r="AX28" i="1"/>
  <c r="AW28" i="1" s="1"/>
  <c r="AV28" i="1" s="1"/>
  <c r="AA121" i="1"/>
  <c r="AA106" i="1"/>
  <c r="AA107" i="1"/>
  <c r="AA109" i="1"/>
  <c r="AA105" i="1"/>
  <c r="AA94" i="1"/>
  <c r="AA95" i="1"/>
  <c r="AA86" i="1"/>
  <c r="AA96" i="1"/>
  <c r="AA72" i="1"/>
  <c r="AA73" i="1"/>
  <c r="AA68" i="1"/>
  <c r="AA64" i="1"/>
  <c r="AA67" i="1"/>
  <c r="AA70" i="1"/>
  <c r="AA71" i="1"/>
  <c r="AA75" i="1"/>
  <c r="AA65" i="1"/>
  <c r="AA74" i="1"/>
  <c r="AA76" i="1"/>
  <c r="AA62" i="1"/>
  <c r="AA69" i="1"/>
  <c r="AA59" i="1"/>
  <c r="AA54" i="1"/>
  <c r="AA52" i="1"/>
  <c r="AA43" i="1"/>
  <c r="AA47" i="1"/>
  <c r="AA53" i="1"/>
  <c r="AA49" i="1"/>
  <c r="AA44" i="1"/>
  <c r="AA60" i="1"/>
  <c r="AA48" i="1"/>
  <c r="AA46" i="1"/>
  <c r="AA58" i="1"/>
  <c r="AA56" i="1"/>
  <c r="AA21" i="1"/>
  <c r="AA20" i="1"/>
  <c r="AA30" i="1"/>
  <c r="AA27" i="1"/>
  <c r="AA23" i="1"/>
  <c r="AA25" i="1"/>
  <c r="AA29" i="1"/>
  <c r="AA22" i="1"/>
  <c r="AA28" i="1"/>
  <c r="N121" i="1"/>
  <c r="BW121" i="1" s="1"/>
  <c r="Q106" i="1"/>
  <c r="N106" i="1"/>
  <c r="Q107" i="1"/>
  <c r="N107" i="1"/>
  <c r="BW107" i="1" s="1"/>
  <c r="Q109" i="1"/>
  <c r="N109" i="1"/>
  <c r="BW109" i="1" s="1"/>
  <c r="Q105" i="1"/>
  <c r="N105" i="1"/>
  <c r="BW105" i="1" s="1"/>
  <c r="Q94" i="1"/>
  <c r="N94" i="1"/>
  <c r="BW94" i="1" s="1"/>
  <c r="Q95" i="1"/>
  <c r="N95" i="1"/>
  <c r="BW95" i="1" s="1"/>
  <c r="Q86" i="1"/>
  <c r="N86" i="1"/>
  <c r="BW86" i="1" s="1"/>
  <c r="Q96" i="1"/>
  <c r="N96" i="1"/>
  <c r="BW96" i="1" s="1"/>
  <c r="Q72" i="1"/>
  <c r="N72" i="1"/>
  <c r="BW72" i="1" s="1"/>
  <c r="Q73" i="1"/>
  <c r="N73" i="1"/>
  <c r="BW73" i="1" s="1"/>
  <c r="N68" i="1"/>
  <c r="Q64" i="1"/>
  <c r="N64" i="1"/>
  <c r="BW64" i="1" s="1"/>
  <c r="N67" i="1"/>
  <c r="BW67" i="1" s="1"/>
  <c r="N70" i="1"/>
  <c r="BW70" i="1" s="1"/>
  <c r="Q71" i="1"/>
  <c r="N71" i="1"/>
  <c r="BW71" i="1" s="1"/>
  <c r="Q75" i="1"/>
  <c r="N75" i="1"/>
  <c r="BW75" i="1" s="1"/>
  <c r="Q65" i="1"/>
  <c r="N65" i="1"/>
  <c r="BW65" i="1" s="1"/>
  <c r="Q74" i="1"/>
  <c r="N74" i="1"/>
  <c r="BW74" i="1" s="1"/>
  <c r="Q76" i="1"/>
  <c r="N76" i="1"/>
  <c r="BW76" i="1" s="1"/>
  <c r="Q63" i="1"/>
  <c r="N63" i="1"/>
  <c r="BW63" i="1" s="1"/>
  <c r="Q62" i="1"/>
  <c r="N62" i="1"/>
  <c r="BW62" i="1" s="1"/>
  <c r="N69" i="1"/>
  <c r="Q59" i="1"/>
  <c r="N59" i="1"/>
  <c r="BW59" i="1" s="1"/>
  <c r="Q54" i="1"/>
  <c r="N54" i="1"/>
  <c r="BW54" i="1" s="1"/>
  <c r="Q52" i="1"/>
  <c r="N52" i="1"/>
  <c r="Q43" i="1"/>
  <c r="N43" i="1"/>
  <c r="BW43" i="1" s="1"/>
  <c r="N55" i="1"/>
  <c r="BW55" i="1" s="1"/>
  <c r="Q47" i="1"/>
  <c r="N47" i="1"/>
  <c r="BW47" i="1" s="1"/>
  <c r="Q53" i="1"/>
  <c r="N53" i="1"/>
  <c r="BW53" i="1" s="1"/>
  <c r="Q49" i="1"/>
  <c r="N49" i="1"/>
  <c r="BW49" i="1" s="1"/>
  <c r="Q44" i="1"/>
  <c r="N44" i="1"/>
  <c r="BW44" i="1" s="1"/>
  <c r="Q60" i="1"/>
  <c r="N60" i="1"/>
  <c r="BW60" i="1" s="1"/>
  <c r="Q48" i="1"/>
  <c r="N48" i="1"/>
  <c r="BW48" i="1" s="1"/>
  <c r="Q46" i="1"/>
  <c r="N46" i="1"/>
  <c r="BW46" i="1" s="1"/>
  <c r="N58" i="1"/>
  <c r="BW58" i="1" s="1"/>
  <c r="Q56" i="1"/>
  <c r="N56" i="1"/>
  <c r="BW56" i="1" s="1"/>
  <c r="Q21" i="1"/>
  <c r="N21" i="1"/>
  <c r="BW21" i="1" s="1"/>
  <c r="Q20" i="1"/>
  <c r="N20" i="1"/>
  <c r="BW20" i="1" s="1"/>
  <c r="Q30" i="1"/>
  <c r="N30" i="1"/>
  <c r="BW30" i="1" s="1"/>
  <c r="Q27" i="1"/>
  <c r="N27" i="1"/>
  <c r="BW27" i="1" s="1"/>
  <c r="Q23" i="1"/>
  <c r="N23" i="1"/>
  <c r="BW23" i="1" s="1"/>
  <c r="Q25" i="1"/>
  <c r="N25" i="1"/>
  <c r="BW25" i="1" s="1"/>
  <c r="Q29" i="1"/>
  <c r="N29" i="1"/>
  <c r="BW29" i="1" s="1"/>
  <c r="Q22" i="1"/>
  <c r="N22" i="1"/>
  <c r="BW22" i="1" s="1"/>
  <c r="Q28" i="1"/>
  <c r="N28" i="1"/>
  <c r="BW28" i="1" s="1"/>
  <c r="P141" i="1"/>
  <c r="M3" i="1"/>
  <c r="M4" i="1" s="1"/>
  <c r="BW69" i="1" l="1"/>
  <c r="BY69" i="1" s="1"/>
  <c r="CD69" i="1" s="1"/>
  <c r="K32" i="17"/>
  <c r="K33" i="17"/>
  <c r="N31" i="17"/>
  <c r="N30" i="17"/>
  <c r="O32" i="17"/>
  <c r="O33" i="17"/>
  <c r="BW68" i="1"/>
  <c r="BY68" i="1" s="1"/>
  <c r="CA68" i="1" s="1"/>
  <c r="K30" i="17"/>
  <c r="K31" i="17"/>
  <c r="O30" i="17"/>
  <c r="O31" i="17"/>
  <c r="N32" i="17"/>
  <c r="N33" i="17"/>
  <c r="N27" i="17"/>
  <c r="N28" i="17"/>
  <c r="BW52" i="1"/>
  <c r="BW61" i="1" s="1"/>
  <c r="K27" i="17"/>
  <c r="K28" i="17"/>
  <c r="BW106" i="1"/>
  <c r="BW122" i="1" s="1"/>
  <c r="K45" i="17"/>
  <c r="K44" i="17"/>
  <c r="K43" i="17"/>
  <c r="O27" i="17"/>
  <c r="O28" i="17"/>
  <c r="N96" i="11"/>
  <c r="N86" i="11"/>
  <c r="J24" i="17"/>
  <c r="N95" i="11"/>
  <c r="N94" i="11"/>
  <c r="N106" i="11"/>
  <c r="N121" i="11"/>
  <c r="N109" i="11"/>
  <c r="N107" i="11"/>
  <c r="BY43" i="1"/>
  <c r="CC43" i="1" s="1"/>
  <c r="BY95" i="1"/>
  <c r="CE95" i="1" s="1"/>
  <c r="BY60" i="1"/>
  <c r="BZ60" i="1" s="1"/>
  <c r="BY75" i="1"/>
  <c r="CB75" i="1" s="1"/>
  <c r="BY27" i="1"/>
  <c r="CB27" i="1" s="1"/>
  <c r="BY59" i="1"/>
  <c r="CE59" i="1" s="1"/>
  <c r="BY71" i="1"/>
  <c r="CC71" i="1" s="1"/>
  <c r="BY29" i="1"/>
  <c r="CD29" i="1" s="1"/>
  <c r="BY72" i="1"/>
  <c r="BZ72" i="1" s="1"/>
  <c r="BY96" i="1"/>
  <c r="CD96" i="1" s="1"/>
  <c r="BY58" i="1"/>
  <c r="CD58" i="1" s="1"/>
  <c r="BY54" i="1"/>
  <c r="CE54" i="1" s="1"/>
  <c r="BY49" i="1"/>
  <c r="CD49" i="1" s="1"/>
  <c r="BY74" i="1"/>
  <c r="BZ74" i="1" s="1"/>
  <c r="BY46" i="1"/>
  <c r="CE46" i="1" s="1"/>
  <c r="BY25" i="1"/>
  <c r="CA25" i="1" s="1"/>
  <c r="BY48" i="1"/>
  <c r="CB48" i="1" s="1"/>
  <c r="BY23" i="1"/>
  <c r="BZ23" i="1" s="1"/>
  <c r="BY70" i="1"/>
  <c r="CC70" i="1" s="1"/>
  <c r="BY20" i="1"/>
  <c r="CC20" i="1" s="1"/>
  <c r="BY62" i="1"/>
  <c r="CA62" i="1" s="1"/>
  <c r="BY67" i="1"/>
  <c r="CA67" i="1" s="1"/>
  <c r="BW104" i="1"/>
  <c r="BY107" i="1"/>
  <c r="CC107" i="1" s="1"/>
  <c r="BY86" i="1"/>
  <c r="BZ86" i="1" s="1"/>
  <c r="BY44" i="1"/>
  <c r="CA44" i="1" s="1"/>
  <c r="BY30" i="1"/>
  <c r="BZ30" i="1" s="1"/>
  <c r="BY53" i="1"/>
  <c r="CE53" i="1" s="1"/>
  <c r="BY121" i="1"/>
  <c r="CC121" i="1" s="1"/>
  <c r="BY109" i="1"/>
  <c r="CA109" i="1" s="1"/>
  <c r="BY28" i="1"/>
  <c r="CA28" i="1" s="1"/>
  <c r="BY21" i="1"/>
  <c r="CB21" i="1" s="1"/>
  <c r="BY63" i="1"/>
  <c r="CC63" i="1" s="1"/>
  <c r="BY64" i="1"/>
  <c r="CE64" i="1" s="1"/>
  <c r="BY65" i="1"/>
  <c r="CB65" i="1" s="1"/>
  <c r="BY47" i="1"/>
  <c r="CE47" i="1" s="1"/>
  <c r="BY56" i="1"/>
  <c r="CE56" i="1" s="1"/>
  <c r="BY76" i="1"/>
  <c r="CA76" i="1" s="1"/>
  <c r="BY94" i="1"/>
  <c r="CD94" i="1" s="1"/>
  <c r="BY73" i="1"/>
  <c r="CA73" i="1" s="1"/>
  <c r="BY22" i="1"/>
  <c r="CD22" i="1" s="1"/>
  <c r="BY105" i="1"/>
  <c r="BZ105" i="1" s="1"/>
  <c r="BY55" i="1"/>
  <c r="BZ55" i="1" s="1"/>
  <c r="N61" i="1"/>
  <c r="N80" i="1"/>
  <c r="N48" i="11"/>
  <c r="N46" i="11"/>
  <c r="N44" i="11"/>
  <c r="N43" i="11"/>
  <c r="N28" i="6"/>
  <c r="N28" i="11"/>
  <c r="N22" i="6"/>
  <c r="N22" i="11"/>
  <c r="N47" i="11"/>
  <c r="N29" i="6"/>
  <c r="N29" i="11"/>
  <c r="N25" i="6"/>
  <c r="N25" i="11"/>
  <c r="N23" i="6"/>
  <c r="N23" i="11"/>
  <c r="N27" i="6"/>
  <c r="N27" i="11"/>
  <c r="N30" i="6"/>
  <c r="N30" i="11"/>
  <c r="N21" i="6"/>
  <c r="N21" i="11"/>
  <c r="N73" i="11"/>
  <c r="N105" i="11"/>
  <c r="N60" i="11"/>
  <c r="N65" i="11"/>
  <c r="P142" i="1"/>
  <c r="N49" i="11"/>
  <c r="N71" i="11"/>
  <c r="N70" i="6"/>
  <c r="N69" i="6"/>
  <c r="N69" i="11"/>
  <c r="N52" i="11"/>
  <c r="N75" i="11"/>
  <c r="N67" i="11"/>
  <c r="N64" i="11"/>
  <c r="N74" i="11"/>
  <c r="N55" i="11"/>
  <c r="N68" i="11"/>
  <c r="O104" i="11"/>
  <c r="N54" i="11"/>
  <c r="N59" i="11"/>
  <c r="O61" i="11"/>
  <c r="N20" i="11"/>
  <c r="N56" i="11"/>
  <c r="N58" i="11"/>
  <c r="N81" i="11"/>
  <c r="N72" i="11"/>
  <c r="N62" i="11"/>
  <c r="N63" i="11"/>
  <c r="N76" i="11"/>
  <c r="N53" i="11"/>
  <c r="N70" i="11"/>
  <c r="O80" i="11"/>
  <c r="N67" i="6"/>
  <c r="N55" i="6"/>
  <c r="N68" i="6"/>
  <c r="N73" i="6"/>
  <c r="N72" i="6"/>
  <c r="N59" i="6"/>
  <c r="N75" i="6"/>
  <c r="N56" i="6"/>
  <c r="N58" i="6"/>
  <c r="N63" i="6"/>
  <c r="AW43" i="1"/>
  <c r="AV43" i="1" s="1"/>
  <c r="AX61" i="1"/>
  <c r="N54" i="6"/>
  <c r="N76" i="6"/>
  <c r="N74" i="6"/>
  <c r="N60" i="6"/>
  <c r="N65" i="6"/>
  <c r="N71" i="6"/>
  <c r="N64" i="6"/>
  <c r="Z56" i="1"/>
  <c r="L56" i="11" s="1"/>
  <c r="Z72" i="1"/>
  <c r="N111" i="6"/>
  <c r="Z58" i="1"/>
  <c r="Z62" i="1"/>
  <c r="Z96" i="1"/>
  <c r="L96" i="11" s="1"/>
  <c r="N110" i="6"/>
  <c r="Z48" i="1"/>
  <c r="L48" i="11" s="1"/>
  <c r="Z23" i="1"/>
  <c r="Z49" i="1"/>
  <c r="L49" i="11" s="1"/>
  <c r="Z105" i="1"/>
  <c r="L105" i="11" s="1"/>
  <c r="N105" i="6"/>
  <c r="Z68" i="1"/>
  <c r="L68" i="11" s="1"/>
  <c r="Z121" i="1"/>
  <c r="N121" i="6"/>
  <c r="L63" i="11"/>
  <c r="N109" i="6"/>
  <c r="Z53" i="1"/>
  <c r="L53" i="11" s="1"/>
  <c r="Z65" i="1"/>
  <c r="L65" i="11" s="1"/>
  <c r="N103" i="6"/>
  <c r="N107" i="6"/>
  <c r="Z67" i="1"/>
  <c r="Z20" i="1"/>
  <c r="L20" i="11" s="1"/>
  <c r="Z25" i="1"/>
  <c r="Z60" i="1"/>
  <c r="L60" i="11" s="1"/>
  <c r="N115" i="6"/>
  <c r="Z47" i="1"/>
  <c r="L47" i="11" s="1"/>
  <c r="Z75" i="1"/>
  <c r="N116" i="6"/>
  <c r="N101" i="6"/>
  <c r="Z43" i="1"/>
  <c r="Z52" i="1"/>
  <c r="L52" i="11" s="1"/>
  <c r="N108" i="6"/>
  <c r="Z29" i="1"/>
  <c r="L81" i="11"/>
  <c r="Z95" i="1"/>
  <c r="L95" i="11" s="1"/>
  <c r="N113" i="6"/>
  <c r="Z109" i="1"/>
  <c r="L109" i="11" s="1"/>
  <c r="N120" i="6"/>
  <c r="Z64" i="1"/>
  <c r="L64" i="11" s="1"/>
  <c r="Z54" i="1"/>
  <c r="L54" i="11" s="1"/>
  <c r="Z46" i="1"/>
  <c r="L46" i="11" s="1"/>
  <c r="N114" i="6"/>
  <c r="Z44" i="1"/>
  <c r="L44" i="11" s="1"/>
  <c r="Z70" i="1"/>
  <c r="N112" i="6"/>
  <c r="L55" i="11"/>
  <c r="Z107" i="1"/>
  <c r="L107" i="11" s="1"/>
  <c r="N118" i="6"/>
  <c r="N96" i="6"/>
  <c r="Z21" i="1"/>
  <c r="Z94" i="1"/>
  <c r="L94" i="11" s="1"/>
  <c r="N117" i="6"/>
  <c r="Z28" i="1"/>
  <c r="Z59" i="1"/>
  <c r="L59" i="11" s="1"/>
  <c r="Z73" i="1"/>
  <c r="L73" i="11" s="1"/>
  <c r="Z106" i="1"/>
  <c r="L106" i="11" s="1"/>
  <c r="N106" i="6"/>
  <c r="P27" i="1"/>
  <c r="P53" i="1"/>
  <c r="P71" i="1"/>
  <c r="Z27" i="1"/>
  <c r="P44" i="1"/>
  <c r="P62" i="1"/>
  <c r="P30" i="1"/>
  <c r="P72" i="1"/>
  <c r="Z71" i="1"/>
  <c r="L71" i="11" s="1"/>
  <c r="P46" i="1"/>
  <c r="P75" i="1"/>
  <c r="P28" i="1"/>
  <c r="P22" i="1"/>
  <c r="P23" i="1"/>
  <c r="P74" i="1"/>
  <c r="P121" i="1"/>
  <c r="P65" i="1"/>
  <c r="P29" i="1"/>
  <c r="P69" i="1"/>
  <c r="P67" i="1"/>
  <c r="P49" i="1"/>
  <c r="P52" i="1"/>
  <c r="P58" i="1"/>
  <c r="P107" i="1"/>
  <c r="AV94" i="1"/>
  <c r="P55" i="1"/>
  <c r="P94" i="1"/>
  <c r="P21" i="1"/>
  <c r="P95" i="1"/>
  <c r="P106" i="1"/>
  <c r="AW72" i="1"/>
  <c r="AV72" i="1" s="1"/>
  <c r="AW58" i="1"/>
  <c r="AW75" i="1"/>
  <c r="P25" i="1"/>
  <c r="P64" i="1"/>
  <c r="Z69" i="1"/>
  <c r="AW121" i="1"/>
  <c r="Z30" i="1"/>
  <c r="AW67" i="1"/>
  <c r="AV67" i="1" s="1"/>
  <c r="P96" i="1"/>
  <c r="P60" i="1"/>
  <c r="P54" i="1"/>
  <c r="AV106" i="1"/>
  <c r="P109" i="1"/>
  <c r="P105" i="1"/>
  <c r="P86" i="1"/>
  <c r="AV65" i="1"/>
  <c r="AV71" i="1"/>
  <c r="P76" i="1"/>
  <c r="P73" i="1"/>
  <c r="P70" i="1"/>
  <c r="AV56" i="1"/>
  <c r="AV69" i="1"/>
  <c r="P56" i="1"/>
  <c r="P59" i="1"/>
  <c r="P43" i="1"/>
  <c r="P48" i="1"/>
  <c r="AV27" i="1"/>
  <c r="P20" i="1"/>
  <c r="Z86" i="1"/>
  <c r="L86" i="11" s="1"/>
  <c r="Z76" i="1"/>
  <c r="L76" i="11" s="1"/>
  <c r="P63" i="1"/>
  <c r="Z74" i="1"/>
  <c r="L74" i="11" s="1"/>
  <c r="P68" i="1"/>
  <c r="P47" i="1"/>
  <c r="Z22" i="1"/>
  <c r="BY106" i="1" l="1"/>
  <c r="CD106" i="1" s="1"/>
  <c r="O34" i="17"/>
  <c r="N29" i="17"/>
  <c r="N47" i="17"/>
  <c r="K29" i="17"/>
  <c r="K47" i="17"/>
  <c r="BY52" i="1"/>
  <c r="BZ52" i="1" s="1"/>
  <c r="K34" i="17"/>
  <c r="BW80" i="1"/>
  <c r="O47" i="17"/>
  <c r="K46" i="17"/>
  <c r="N34" i="17"/>
  <c r="L121" i="11"/>
  <c r="CC59" i="1"/>
  <c r="CD60" i="1"/>
  <c r="CE121" i="1"/>
  <c r="CD27" i="1"/>
  <c r="BZ27" i="1"/>
  <c r="CD46" i="1"/>
  <c r="CE63" i="1"/>
  <c r="CD62" i="1"/>
  <c r="CD65" i="1"/>
  <c r="CB121" i="1"/>
  <c r="CA121" i="1"/>
  <c r="CB59" i="1"/>
  <c r="CA29" i="1"/>
  <c r="CD64" i="1"/>
  <c r="CB47" i="1"/>
  <c r="CB69" i="1"/>
  <c r="CD71" i="1"/>
  <c r="CC47" i="1"/>
  <c r="CC49" i="1"/>
  <c r="CB49" i="1"/>
  <c r="CD28" i="1"/>
  <c r="CE48" i="1"/>
  <c r="CA49" i="1"/>
  <c r="CD20" i="1"/>
  <c r="BZ95" i="1"/>
  <c r="CC96" i="1"/>
  <c r="CB96" i="1"/>
  <c r="CD21" i="1"/>
  <c r="CB105" i="1"/>
  <c r="CA59" i="1"/>
  <c r="BZ59" i="1"/>
  <c r="CD95" i="1"/>
  <c r="CB46" i="1"/>
  <c r="BZ49" i="1"/>
  <c r="BZ47" i="1"/>
  <c r="CE49" i="1"/>
  <c r="CC48" i="1"/>
  <c r="CB43" i="1"/>
  <c r="CA54" i="1"/>
  <c r="CC53" i="1"/>
  <c r="BZ48" i="1"/>
  <c r="CA43" i="1"/>
  <c r="CC54" i="1"/>
  <c r="CC64" i="1"/>
  <c r="CA48" i="1"/>
  <c r="CJ48" i="1" s="1"/>
  <c r="CC67" i="1"/>
  <c r="BZ43" i="1"/>
  <c r="BZ64" i="1"/>
  <c r="CE67" i="1"/>
  <c r="CD107" i="1"/>
  <c r="CE43" i="1"/>
  <c r="CC76" i="1"/>
  <c r="BZ67" i="1"/>
  <c r="CB76" i="1"/>
  <c r="CJ76" i="1" s="1"/>
  <c r="CD73" i="1"/>
  <c r="CA21" i="1"/>
  <c r="CJ21" i="1" s="1"/>
  <c r="CE73" i="1"/>
  <c r="CD109" i="1"/>
  <c r="CC62" i="1"/>
  <c r="CE30" i="1"/>
  <c r="CC21" i="1"/>
  <c r="CC73" i="1"/>
  <c r="CE62" i="1"/>
  <c r="CB29" i="1"/>
  <c r="CE60" i="1"/>
  <c r="CB67" i="1"/>
  <c r="CJ67" i="1" s="1"/>
  <c r="CC22" i="1"/>
  <c r="CE21" i="1"/>
  <c r="CB62" i="1"/>
  <c r="CJ62" i="1" s="1"/>
  <c r="CC29" i="1"/>
  <c r="CB60" i="1"/>
  <c r="CB54" i="1"/>
  <c r="CE76" i="1"/>
  <c r="CD76" i="1"/>
  <c r="BZ21" i="1"/>
  <c r="CE29" i="1"/>
  <c r="CC60" i="1"/>
  <c r="BZ121" i="1"/>
  <c r="CD30" i="1"/>
  <c r="CD67" i="1"/>
  <c r="CD48" i="1"/>
  <c r="BZ29" i="1"/>
  <c r="CE94" i="1"/>
  <c r="BZ22" i="1"/>
  <c r="CD47" i="1"/>
  <c r="CD53" i="1"/>
  <c r="CD74" i="1"/>
  <c r="BZ54" i="1"/>
  <c r="BZ94" i="1"/>
  <c r="CA22" i="1"/>
  <c r="CC46" i="1"/>
  <c r="CB73" i="1"/>
  <c r="CJ73" i="1" s="1"/>
  <c r="CB53" i="1"/>
  <c r="CE20" i="1"/>
  <c r="CA71" i="1"/>
  <c r="CA65" i="1"/>
  <c r="CJ65" i="1" s="1"/>
  <c r="CA55" i="1"/>
  <c r="CA53" i="1"/>
  <c r="CC94" i="1"/>
  <c r="CB22" i="1"/>
  <c r="BZ73" i="1"/>
  <c r="BZ53" i="1"/>
  <c r="CE71" i="1"/>
  <c r="CC65" i="1"/>
  <c r="CE55" i="1"/>
  <c r="CE22" i="1"/>
  <c r="CE72" i="1"/>
  <c r="BZ71" i="1"/>
  <c r="CE65" i="1"/>
  <c r="CB94" i="1"/>
  <c r="CA94" i="1"/>
  <c r="CC72" i="1"/>
  <c r="CA86" i="1"/>
  <c r="CD44" i="1"/>
  <c r="CE69" i="1"/>
  <c r="CD54" i="1"/>
  <c r="CD72" i="1"/>
  <c r="CC86" i="1"/>
  <c r="CC69" i="1"/>
  <c r="CB86" i="1"/>
  <c r="CD86" i="1"/>
  <c r="CD23" i="1"/>
  <c r="CA69" i="1"/>
  <c r="CA96" i="1"/>
  <c r="CE25" i="1"/>
  <c r="CB68" i="1"/>
  <c r="CJ68" i="1" s="1"/>
  <c r="CA47" i="1"/>
  <c r="BZ69" i="1"/>
  <c r="BZ96" i="1"/>
  <c r="BZ76" i="1"/>
  <c r="CB64" i="1"/>
  <c r="CE96" i="1"/>
  <c r="CE70" i="1"/>
  <c r="CC25" i="1"/>
  <c r="CB95" i="1"/>
  <c r="CC68" i="1"/>
  <c r="CD68" i="1"/>
  <c r="CA72" i="1"/>
  <c r="BY80" i="1"/>
  <c r="CD25" i="1"/>
  <c r="CB70" i="1"/>
  <c r="BZ65" i="1"/>
  <c r="BZ25" i="1"/>
  <c r="CA60" i="1"/>
  <c r="CC95" i="1"/>
  <c r="CB72" i="1"/>
  <c r="CE27" i="1"/>
  <c r="CA27" i="1"/>
  <c r="CJ27" i="1" s="1"/>
  <c r="CA46" i="1"/>
  <c r="CC44" i="1"/>
  <c r="CB107" i="1"/>
  <c r="BZ62" i="1"/>
  <c r="CC23" i="1"/>
  <c r="CE44" i="1"/>
  <c r="CD55" i="1"/>
  <c r="BZ46" i="1"/>
  <c r="CA64" i="1"/>
  <c r="BZ44" i="1"/>
  <c r="BZ107" i="1"/>
  <c r="CC109" i="1"/>
  <c r="CA23" i="1"/>
  <c r="CB28" i="1"/>
  <c r="CJ28" i="1" s="1"/>
  <c r="CD63" i="1"/>
  <c r="CB44" i="1"/>
  <c r="CA107" i="1"/>
  <c r="CE109" i="1"/>
  <c r="CE58" i="1"/>
  <c r="BZ58" i="1"/>
  <c r="CA58" i="1"/>
  <c r="CC58" i="1"/>
  <c r="CB58" i="1"/>
  <c r="CE23" i="1"/>
  <c r="CA56" i="1"/>
  <c r="CE28" i="1"/>
  <c r="CE107" i="1"/>
  <c r="CB109" i="1"/>
  <c r="CJ109" i="1" s="1"/>
  <c r="CA75" i="1"/>
  <c r="CJ75" i="1" s="1"/>
  <c r="CB23" i="1"/>
  <c r="CC27" i="1"/>
  <c r="BZ56" i="1"/>
  <c r="CA105" i="1"/>
  <c r="CE74" i="1"/>
  <c r="CB63" i="1"/>
  <c r="BZ28" i="1"/>
  <c r="BZ109" i="1"/>
  <c r="CC30" i="1"/>
  <c r="CE75" i="1"/>
  <c r="CE105" i="1"/>
  <c r="CB56" i="1"/>
  <c r="CD105" i="1"/>
  <c r="CB74" i="1"/>
  <c r="CA63" i="1"/>
  <c r="CC28" i="1"/>
  <c r="CD121" i="1"/>
  <c r="CA20" i="1"/>
  <c r="BY104" i="1"/>
  <c r="CB30" i="1"/>
  <c r="CB71" i="1"/>
  <c r="CD59" i="1"/>
  <c r="BZ75" i="1"/>
  <c r="CE68" i="1"/>
  <c r="CC56" i="1"/>
  <c r="CD56" i="1"/>
  <c r="CC74" i="1"/>
  <c r="BZ63" i="1"/>
  <c r="CB20" i="1"/>
  <c r="CA30" i="1"/>
  <c r="CD75" i="1"/>
  <c r="CC75" i="1"/>
  <c r="CB55" i="1"/>
  <c r="BZ68" i="1"/>
  <c r="BZ70" i="1"/>
  <c r="CB25" i="1"/>
  <c r="CJ25" i="1" s="1"/>
  <c r="CA95" i="1"/>
  <c r="CC105" i="1"/>
  <c r="CA74" i="1"/>
  <c r="CE86" i="1"/>
  <c r="BZ20" i="1"/>
  <c r="CD70" i="1"/>
  <c r="CA70" i="1"/>
  <c r="CC55" i="1"/>
  <c r="CD43" i="1"/>
  <c r="L25" i="11"/>
  <c r="L25" i="6"/>
  <c r="L43" i="11"/>
  <c r="L28" i="11"/>
  <c r="L28" i="6"/>
  <c r="L29" i="11"/>
  <c r="L29" i="6"/>
  <c r="L30" i="11"/>
  <c r="L30" i="6"/>
  <c r="L23" i="11"/>
  <c r="L23" i="6"/>
  <c r="L22" i="11"/>
  <c r="L22" i="6"/>
  <c r="L27" i="11"/>
  <c r="L27" i="6"/>
  <c r="L21" i="11"/>
  <c r="L21" i="6"/>
  <c r="L69" i="11"/>
  <c r="L69" i="6"/>
  <c r="L70" i="11"/>
  <c r="L70" i="6"/>
  <c r="L72" i="11"/>
  <c r="O28" i="1"/>
  <c r="S28" i="1" s="1"/>
  <c r="L67" i="11"/>
  <c r="O94" i="1"/>
  <c r="S94" i="1" s="1"/>
  <c r="N104" i="11"/>
  <c r="O44" i="1"/>
  <c r="O21" i="1"/>
  <c r="S21" i="1" s="1"/>
  <c r="O43" i="1"/>
  <c r="S43" i="1" s="1"/>
  <c r="O48" i="1"/>
  <c r="S48" i="1" s="1"/>
  <c r="N61" i="11"/>
  <c r="L75" i="11"/>
  <c r="O29" i="1"/>
  <c r="S29" i="1" s="1"/>
  <c r="Y107" i="1"/>
  <c r="J107" i="11" s="1"/>
  <c r="O106" i="1"/>
  <c r="O62" i="1"/>
  <c r="S62" i="1" s="1"/>
  <c r="L62" i="11"/>
  <c r="N80" i="11"/>
  <c r="O25" i="1"/>
  <c r="L58" i="11"/>
  <c r="O73" i="1"/>
  <c r="S73" i="1" s="1"/>
  <c r="L73" i="6"/>
  <c r="L64" i="6"/>
  <c r="O65" i="1"/>
  <c r="S65" i="1" s="1"/>
  <c r="L65" i="6"/>
  <c r="L76" i="6"/>
  <c r="L68" i="6"/>
  <c r="O56" i="1"/>
  <c r="S56" i="1" s="1"/>
  <c r="L56" i="6"/>
  <c r="L74" i="6"/>
  <c r="L60" i="6"/>
  <c r="L55" i="6"/>
  <c r="L71" i="6"/>
  <c r="O54" i="1"/>
  <c r="S54" i="1" s="1"/>
  <c r="L54" i="6"/>
  <c r="AW61" i="1"/>
  <c r="L63" i="6"/>
  <c r="L59" i="6"/>
  <c r="L72" i="6"/>
  <c r="L58" i="6"/>
  <c r="O70" i="1"/>
  <c r="S70" i="1" s="1"/>
  <c r="L75" i="6"/>
  <c r="L67" i="6"/>
  <c r="Y96" i="1"/>
  <c r="J96" i="11" s="1"/>
  <c r="Y52" i="1"/>
  <c r="J52" i="11" s="1"/>
  <c r="O52" i="1"/>
  <c r="Y68" i="1"/>
  <c r="J68" i="11" s="1"/>
  <c r="O59" i="1"/>
  <c r="S59" i="1" s="1"/>
  <c r="J63" i="11"/>
  <c r="O68" i="1"/>
  <c r="S68" i="1" s="1"/>
  <c r="O63" i="1"/>
  <c r="S63" i="1" s="1"/>
  <c r="O20" i="1"/>
  <c r="O47" i="1"/>
  <c r="S47" i="1" s="1"/>
  <c r="Y23" i="1"/>
  <c r="O23" i="1"/>
  <c r="S23" i="1" s="1"/>
  <c r="O107" i="1"/>
  <c r="S107" i="1" s="1"/>
  <c r="O60" i="1"/>
  <c r="S60" i="1" s="1"/>
  <c r="Y59" i="1"/>
  <c r="J59" i="11" s="1"/>
  <c r="Y60" i="1"/>
  <c r="J60" i="11" s="1"/>
  <c r="Y47" i="1"/>
  <c r="J47" i="11" s="1"/>
  <c r="Y46" i="1"/>
  <c r="J46" i="11" s="1"/>
  <c r="L109" i="6"/>
  <c r="Y105" i="1"/>
  <c r="J105" i="11" s="1"/>
  <c r="L105" i="6"/>
  <c r="L117" i="6"/>
  <c r="L108" i="6"/>
  <c r="Y56" i="1"/>
  <c r="J56" i="11" s="1"/>
  <c r="Y30" i="1"/>
  <c r="L112" i="6"/>
  <c r="Y54" i="1"/>
  <c r="J54" i="11" s="1"/>
  <c r="Y67" i="1"/>
  <c r="J67" i="11" s="1"/>
  <c r="O121" i="1"/>
  <c r="S121" i="1" s="1"/>
  <c r="Y94" i="1"/>
  <c r="J94" i="11" s="1"/>
  <c r="L115" i="6"/>
  <c r="Y121" i="1"/>
  <c r="L121" i="6"/>
  <c r="O46" i="1"/>
  <c r="S46" i="1" s="1"/>
  <c r="O95" i="1"/>
  <c r="S95" i="1" s="1"/>
  <c r="O105" i="1"/>
  <c r="S105" i="1" s="1"/>
  <c r="Y69" i="1"/>
  <c r="Y58" i="1"/>
  <c r="Y62" i="1"/>
  <c r="J62" i="11" s="1"/>
  <c r="Y72" i="1"/>
  <c r="J72" i="11" s="1"/>
  <c r="Y95" i="1"/>
  <c r="J95" i="11" s="1"/>
  <c r="Y43" i="1"/>
  <c r="J43" i="11" s="1"/>
  <c r="O64" i="1"/>
  <c r="S64" i="1" s="1"/>
  <c r="L96" i="6"/>
  <c r="Y28" i="1"/>
  <c r="L114" i="6"/>
  <c r="L101" i="6"/>
  <c r="Y106" i="1"/>
  <c r="J106" i="11" s="1"/>
  <c r="L106" i="6"/>
  <c r="Y27" i="1"/>
  <c r="Y21" i="1"/>
  <c r="Y70" i="1"/>
  <c r="L107" i="6"/>
  <c r="Y49" i="1"/>
  <c r="J49" i="11" s="1"/>
  <c r="Y64" i="1"/>
  <c r="J64" i="11" s="1"/>
  <c r="Y73" i="1"/>
  <c r="J73" i="11" s="1"/>
  <c r="Y109" i="1"/>
  <c r="J109" i="11" s="1"/>
  <c r="L120" i="6"/>
  <c r="L103" i="6"/>
  <c r="O53" i="1"/>
  <c r="S53" i="1" s="1"/>
  <c r="O109" i="1"/>
  <c r="S109" i="1" s="1"/>
  <c r="Y53" i="1"/>
  <c r="J53" i="11" s="1"/>
  <c r="J81" i="11"/>
  <c r="O49" i="1"/>
  <c r="S49" i="1" s="1"/>
  <c r="Y44" i="1"/>
  <c r="J44" i="11" s="1"/>
  <c r="Y65" i="1"/>
  <c r="J65" i="11" s="1"/>
  <c r="L116" i="6"/>
  <c r="Y48" i="1"/>
  <c r="J48" i="11" s="1"/>
  <c r="L111" i="6"/>
  <c r="J55" i="11"/>
  <c r="Y71" i="1"/>
  <c r="J71" i="11" s="1"/>
  <c r="Y29" i="1"/>
  <c r="Y75" i="1"/>
  <c r="Y25" i="1"/>
  <c r="Y20" i="1"/>
  <c r="J20" i="11" s="1"/>
  <c r="O55" i="1"/>
  <c r="S55" i="1" s="1"/>
  <c r="O96" i="1"/>
  <c r="S96" i="1" s="1"/>
  <c r="L118" i="6"/>
  <c r="L113" i="6"/>
  <c r="L110" i="6"/>
  <c r="O71" i="1"/>
  <c r="S71" i="1" s="1"/>
  <c r="O30" i="1"/>
  <c r="S30" i="1" s="1"/>
  <c r="O27" i="1"/>
  <c r="S27" i="1" s="1"/>
  <c r="AV121" i="1"/>
  <c r="O69" i="1"/>
  <c r="O67" i="1"/>
  <c r="S67" i="1" s="1"/>
  <c r="AV75" i="1"/>
  <c r="O75" i="1"/>
  <c r="S75" i="1" s="1"/>
  <c r="O72" i="1"/>
  <c r="S72" i="1" s="1"/>
  <c r="O58" i="1"/>
  <c r="S58" i="1" s="1"/>
  <c r="AV58" i="1"/>
  <c r="O86" i="1"/>
  <c r="S86" i="1" s="1"/>
  <c r="Y86" i="1"/>
  <c r="J86" i="11" s="1"/>
  <c r="O76" i="1"/>
  <c r="S76" i="1" s="1"/>
  <c r="Y76" i="1"/>
  <c r="J76" i="11" s="1"/>
  <c r="O74" i="1"/>
  <c r="S74" i="1" s="1"/>
  <c r="Y74" i="1"/>
  <c r="J74" i="11" s="1"/>
  <c r="O22" i="1"/>
  <c r="Y22" i="1"/>
  <c r="P156" i="1"/>
  <c r="G44" i="3"/>
  <c r="H44" i="3" s="1"/>
  <c r="Q175" i="1"/>
  <c r="F37" i="3"/>
  <c r="F35" i="3"/>
  <c r="F22" i="3"/>
  <c r="F20" i="3"/>
  <c r="O168" i="1"/>
  <c r="O166" i="1"/>
  <c r="O164" i="1"/>
  <c r="O151" i="1"/>
  <c r="O153" i="1"/>
  <c r="O149" i="1"/>
  <c r="CE106" i="1" l="1"/>
  <c r="CE122" i="1" s="1"/>
  <c r="CA106" i="1"/>
  <c r="CA122" i="1" s="1"/>
  <c r="CE52" i="1"/>
  <c r="CE61" i="1" s="1"/>
  <c r="BY122" i="1"/>
  <c r="CC106" i="1"/>
  <c r="CC122" i="1" s="1"/>
  <c r="CB106" i="1"/>
  <c r="BZ106" i="1"/>
  <c r="BZ122" i="1" s="1"/>
  <c r="CC52" i="1"/>
  <c r="CC61" i="1" s="1"/>
  <c r="CB52" i="1"/>
  <c r="CB61" i="1" s="1"/>
  <c r="CD52" i="1"/>
  <c r="CD61" i="1" s="1"/>
  <c r="L30" i="17"/>
  <c r="L31" i="17"/>
  <c r="L32" i="17"/>
  <c r="L33" i="17"/>
  <c r="BY61" i="1"/>
  <c r="S106" i="1"/>
  <c r="L45" i="17"/>
  <c r="L44" i="17"/>
  <c r="L43" i="17"/>
  <c r="CA52" i="1"/>
  <c r="S52" i="1"/>
  <c r="L27" i="17"/>
  <c r="L28" i="17"/>
  <c r="R20" i="1"/>
  <c r="T20" i="1"/>
  <c r="J121" i="11"/>
  <c r="CI72" i="1"/>
  <c r="CI54" i="1"/>
  <c r="CI59" i="1"/>
  <c r="CJ121" i="1"/>
  <c r="CJ49" i="1"/>
  <c r="CF49" i="1"/>
  <c r="CJ43" i="1"/>
  <c r="CI67" i="1"/>
  <c r="CJ59" i="1"/>
  <c r="CJ29" i="1"/>
  <c r="CI121" i="1"/>
  <c r="CJ70" i="1"/>
  <c r="CJ47" i="1"/>
  <c r="CI49" i="1"/>
  <c r="CI29" i="1"/>
  <c r="CI105" i="1"/>
  <c r="CJ96" i="1"/>
  <c r="CJ69" i="1"/>
  <c r="CF64" i="1"/>
  <c r="CF29" i="1"/>
  <c r="CJ46" i="1"/>
  <c r="CF21" i="1"/>
  <c r="CJ94" i="1"/>
  <c r="CF76" i="1"/>
  <c r="CI73" i="1"/>
  <c r="CI76" i="1"/>
  <c r="CF59" i="1"/>
  <c r="CJ95" i="1"/>
  <c r="CJ86" i="1"/>
  <c r="CI55" i="1"/>
  <c r="CJ54" i="1"/>
  <c r="CI43" i="1"/>
  <c r="CJ22" i="1"/>
  <c r="CF67" i="1"/>
  <c r="CI94" i="1"/>
  <c r="CJ60" i="1"/>
  <c r="CF121" i="1"/>
  <c r="CI48" i="1"/>
  <c r="CF55" i="1"/>
  <c r="CI21" i="1"/>
  <c r="CF73" i="1"/>
  <c r="CB80" i="1"/>
  <c r="CB104" i="1"/>
  <c r="CF54" i="1"/>
  <c r="CI71" i="1"/>
  <c r="CI86" i="1"/>
  <c r="CF69" i="1"/>
  <c r="CI22" i="1"/>
  <c r="CF48" i="1"/>
  <c r="CF30" i="1"/>
  <c r="CE80" i="1"/>
  <c r="CF22" i="1"/>
  <c r="CF94" i="1"/>
  <c r="CF47" i="1"/>
  <c r="CF71" i="1"/>
  <c r="CD80" i="1"/>
  <c r="CJ72" i="1"/>
  <c r="CJ55" i="1"/>
  <c r="CI47" i="1"/>
  <c r="CJ63" i="1"/>
  <c r="CF96" i="1"/>
  <c r="CI96" i="1"/>
  <c r="CC80" i="1"/>
  <c r="CE104" i="1"/>
  <c r="CJ64" i="1"/>
  <c r="CD104" i="1"/>
  <c r="CI69" i="1"/>
  <c r="CC104" i="1"/>
  <c r="CJ71" i="1"/>
  <c r="CJ53" i="1"/>
  <c r="CF53" i="1"/>
  <c r="CJ23" i="1"/>
  <c r="CF86" i="1"/>
  <c r="CI53" i="1"/>
  <c r="CF72" i="1"/>
  <c r="CI95" i="1"/>
  <c r="CI68" i="1"/>
  <c r="CF68" i="1"/>
  <c r="CI44" i="1"/>
  <c r="CF44" i="1"/>
  <c r="CF105" i="1"/>
  <c r="CJ58" i="1"/>
  <c r="CF95" i="1"/>
  <c r="CI65" i="1"/>
  <c r="CF65" i="1"/>
  <c r="CJ74" i="1"/>
  <c r="CJ105" i="1"/>
  <c r="CI58" i="1"/>
  <c r="CF58" i="1"/>
  <c r="CI25" i="1"/>
  <c r="CF25" i="1"/>
  <c r="CI63" i="1"/>
  <c r="CF63" i="1"/>
  <c r="CD122" i="1"/>
  <c r="CI56" i="1"/>
  <c r="CF56" i="1"/>
  <c r="CI64" i="1"/>
  <c r="BZ80" i="1"/>
  <c r="CI62" i="1"/>
  <c r="CF62" i="1"/>
  <c r="CI109" i="1"/>
  <c r="CF109" i="1"/>
  <c r="CI46" i="1"/>
  <c r="CF46" i="1"/>
  <c r="CF27" i="1"/>
  <c r="CI27" i="1"/>
  <c r="CF60" i="1"/>
  <c r="BZ104" i="1"/>
  <c r="CF43" i="1"/>
  <c r="CI60" i="1"/>
  <c r="CI70" i="1"/>
  <c r="CF70" i="1"/>
  <c r="CJ44" i="1"/>
  <c r="BZ61" i="1"/>
  <c r="CI107" i="1"/>
  <c r="CF107" i="1"/>
  <c r="CJ20" i="1"/>
  <c r="CJ30" i="1"/>
  <c r="CF23" i="1"/>
  <c r="CA104" i="1"/>
  <c r="CJ107" i="1"/>
  <c r="CF74" i="1"/>
  <c r="CI23" i="1"/>
  <c r="CI20" i="1"/>
  <c r="CF20" i="1"/>
  <c r="CI28" i="1"/>
  <c r="CF28" i="1"/>
  <c r="CI74" i="1"/>
  <c r="CI75" i="1"/>
  <c r="CF75" i="1"/>
  <c r="CJ56" i="1"/>
  <c r="CA80" i="1"/>
  <c r="CI30" i="1"/>
  <c r="T94" i="1"/>
  <c r="R29" i="1"/>
  <c r="T21" i="1"/>
  <c r="T49" i="1"/>
  <c r="T43" i="1"/>
  <c r="T46" i="1"/>
  <c r="T54" i="1"/>
  <c r="R52" i="1"/>
  <c r="R59" i="1"/>
  <c r="T64" i="1"/>
  <c r="T63" i="1"/>
  <c r="R70" i="1"/>
  <c r="L104" i="6"/>
  <c r="J28" i="11"/>
  <c r="J28" i="6"/>
  <c r="J29" i="11"/>
  <c r="J29" i="6"/>
  <c r="J22" i="6"/>
  <c r="J22" i="11"/>
  <c r="J25" i="6"/>
  <c r="J25" i="11"/>
  <c r="J23" i="6"/>
  <c r="J23" i="11"/>
  <c r="J21" i="6"/>
  <c r="J21" i="11"/>
  <c r="J27" i="6"/>
  <c r="J27" i="11"/>
  <c r="J30" i="11"/>
  <c r="J30" i="6"/>
  <c r="T48" i="1"/>
  <c r="R94" i="1"/>
  <c r="R21" i="1"/>
  <c r="R43" i="1"/>
  <c r="J70" i="11"/>
  <c r="J70" i="6"/>
  <c r="J69" i="11"/>
  <c r="J69" i="6"/>
  <c r="T25" i="1"/>
  <c r="R44" i="1"/>
  <c r="R54" i="1"/>
  <c r="R25" i="1"/>
  <c r="J111" i="6"/>
  <c r="R56" i="1"/>
  <c r="T70" i="1"/>
  <c r="J118" i="6"/>
  <c r="R62" i="1"/>
  <c r="AV61" i="1"/>
  <c r="T28" i="1"/>
  <c r="R28" i="1"/>
  <c r="M106" i="1"/>
  <c r="L61" i="11"/>
  <c r="J58" i="11"/>
  <c r="T62" i="1"/>
  <c r="T106" i="1"/>
  <c r="J115" i="6"/>
  <c r="M107" i="1"/>
  <c r="U107" i="1" s="1"/>
  <c r="R48" i="1"/>
  <c r="R106" i="1"/>
  <c r="R65" i="1"/>
  <c r="M96" i="1"/>
  <c r="U96" i="1" s="1"/>
  <c r="T65" i="1"/>
  <c r="T29" i="1"/>
  <c r="L104" i="11"/>
  <c r="L80" i="11"/>
  <c r="T44" i="1"/>
  <c r="J75" i="11"/>
  <c r="J54" i="6"/>
  <c r="J55" i="6"/>
  <c r="M59" i="1"/>
  <c r="U59" i="1" s="1"/>
  <c r="J59" i="6"/>
  <c r="M63" i="1"/>
  <c r="U63" i="1" s="1"/>
  <c r="J63" i="6"/>
  <c r="R73" i="1"/>
  <c r="M60" i="1"/>
  <c r="U60" i="1" s="1"/>
  <c r="J60" i="6"/>
  <c r="J72" i="6"/>
  <c r="J74" i="6"/>
  <c r="T56" i="1"/>
  <c r="J75" i="6"/>
  <c r="J64" i="6"/>
  <c r="J76" i="6"/>
  <c r="J65" i="6"/>
  <c r="J58" i="6"/>
  <c r="J56" i="6"/>
  <c r="T73" i="1"/>
  <c r="M68" i="1"/>
  <c r="J68" i="6"/>
  <c r="J71" i="6"/>
  <c r="J73" i="6"/>
  <c r="J67" i="6"/>
  <c r="M52" i="1"/>
  <c r="J113" i="6"/>
  <c r="T23" i="1"/>
  <c r="R23" i="1"/>
  <c r="J112" i="6"/>
  <c r="T52" i="1"/>
  <c r="M121" i="1"/>
  <c r="U121" i="1" s="1"/>
  <c r="T59" i="1"/>
  <c r="M69" i="1"/>
  <c r="R60" i="1"/>
  <c r="T53" i="1"/>
  <c r="R63" i="1"/>
  <c r="T121" i="1"/>
  <c r="R68" i="1"/>
  <c r="T68" i="1"/>
  <c r="M23" i="1"/>
  <c r="U23" i="1" s="1"/>
  <c r="R121" i="1"/>
  <c r="R47" i="1"/>
  <c r="T47" i="1"/>
  <c r="M58" i="1"/>
  <c r="U58" i="1" s="1"/>
  <c r="M65" i="1"/>
  <c r="U65" i="1" s="1"/>
  <c r="R107" i="1"/>
  <c r="M72" i="1"/>
  <c r="U72" i="1" s="1"/>
  <c r="T107" i="1"/>
  <c r="T105" i="1"/>
  <c r="R105" i="1"/>
  <c r="T60" i="1"/>
  <c r="R64" i="1"/>
  <c r="M75" i="1"/>
  <c r="U75" i="1" s="1"/>
  <c r="R55" i="1"/>
  <c r="M67" i="1"/>
  <c r="U67" i="1" s="1"/>
  <c r="M27" i="1"/>
  <c r="U27" i="1" s="1"/>
  <c r="T96" i="1"/>
  <c r="M56" i="1"/>
  <c r="U56" i="1" s="1"/>
  <c r="T95" i="1"/>
  <c r="R46" i="1"/>
  <c r="R96" i="1"/>
  <c r="T55" i="1"/>
  <c r="R53" i="1"/>
  <c r="J107" i="6"/>
  <c r="M71" i="1"/>
  <c r="U71" i="1" s="1"/>
  <c r="M29" i="1"/>
  <c r="U29" i="1" s="1"/>
  <c r="M53" i="1"/>
  <c r="U53" i="1" s="1"/>
  <c r="M43" i="1"/>
  <c r="U43" i="1" s="1"/>
  <c r="M62" i="1"/>
  <c r="U62" i="1" s="1"/>
  <c r="J121" i="6"/>
  <c r="J109" i="6"/>
  <c r="M54" i="1"/>
  <c r="U54" i="1" s="1"/>
  <c r="J108" i="6"/>
  <c r="J101" i="6"/>
  <c r="M64" i="1"/>
  <c r="U64" i="1" s="1"/>
  <c r="M21" i="1"/>
  <c r="U21" i="1" s="1"/>
  <c r="J96" i="6"/>
  <c r="M30" i="1"/>
  <c r="U30" i="1" s="1"/>
  <c r="J117" i="6"/>
  <c r="M74" i="1"/>
  <c r="U74" i="1" s="1"/>
  <c r="R49" i="1"/>
  <c r="J103" i="6"/>
  <c r="M70" i="1"/>
  <c r="U70" i="1" s="1"/>
  <c r="M86" i="1"/>
  <c r="U86" i="1" s="1"/>
  <c r="M47" i="1"/>
  <c r="U47" i="1" s="1"/>
  <c r="M76" i="1"/>
  <c r="U76" i="1" s="1"/>
  <c r="M20" i="1"/>
  <c r="M44" i="1"/>
  <c r="U44" i="1" s="1"/>
  <c r="M46" i="1"/>
  <c r="U46" i="1" s="1"/>
  <c r="M55" i="1"/>
  <c r="U55" i="1" s="1"/>
  <c r="J120" i="6"/>
  <c r="M109" i="1"/>
  <c r="U109" i="1" s="1"/>
  <c r="J106" i="6"/>
  <c r="J116" i="6"/>
  <c r="R95" i="1"/>
  <c r="R109" i="1"/>
  <c r="T109" i="1"/>
  <c r="M25" i="1"/>
  <c r="U25" i="1" s="1"/>
  <c r="M94" i="1"/>
  <c r="U94" i="1" s="1"/>
  <c r="J110" i="6"/>
  <c r="M73" i="1"/>
  <c r="U73" i="1" s="1"/>
  <c r="J114" i="6"/>
  <c r="M95" i="1"/>
  <c r="U95" i="1" s="1"/>
  <c r="J105" i="6"/>
  <c r="M105" i="1"/>
  <c r="U105" i="1" s="1"/>
  <c r="M22" i="1"/>
  <c r="U22" i="1" s="1"/>
  <c r="M48" i="1"/>
  <c r="U48" i="1" s="1"/>
  <c r="M49" i="1"/>
  <c r="U49" i="1" s="1"/>
  <c r="M28" i="1"/>
  <c r="U28" i="1" s="1"/>
  <c r="P173" i="1"/>
  <c r="Q173" i="1" s="1"/>
  <c r="P174" i="1"/>
  <c r="Q174" i="1" s="1"/>
  <c r="G43" i="3"/>
  <c r="H43" i="3" s="1"/>
  <c r="P158" i="1"/>
  <c r="Q158" i="1" s="1"/>
  <c r="G27" i="3"/>
  <c r="H27" i="3" s="1"/>
  <c r="G42" i="3"/>
  <c r="H42" i="3" s="1"/>
  <c r="P159" i="1"/>
  <c r="Q159" i="1" s="1"/>
  <c r="G28" i="3"/>
  <c r="H28" i="3" s="1"/>
  <c r="T69" i="1"/>
  <c r="R71" i="1"/>
  <c r="R27" i="1"/>
  <c r="T67" i="1"/>
  <c r="T71" i="1"/>
  <c r="T30" i="1"/>
  <c r="T27" i="1"/>
  <c r="R67" i="1"/>
  <c r="R30" i="1"/>
  <c r="R69" i="1"/>
  <c r="R58" i="1"/>
  <c r="T58" i="1"/>
  <c r="T75" i="1"/>
  <c r="R75" i="1"/>
  <c r="T72" i="1"/>
  <c r="R72" i="1"/>
  <c r="T86" i="1"/>
  <c r="R86" i="1"/>
  <c r="T76" i="1"/>
  <c r="R76" i="1"/>
  <c r="T74" i="1"/>
  <c r="R74" i="1"/>
  <c r="T22" i="1"/>
  <c r="R22" i="1"/>
  <c r="F36" i="3"/>
  <c r="F21" i="3"/>
  <c r="CI106" i="1" l="1"/>
  <c r="CI122" i="1" s="1"/>
  <c r="CF106" i="1"/>
  <c r="CF122" i="1" s="1"/>
  <c r="CB122" i="1"/>
  <c r="CJ106" i="1"/>
  <c r="CJ122" i="1" s="1"/>
  <c r="CJ52" i="1"/>
  <c r="CJ61" i="1" s="1"/>
  <c r="U69" i="1"/>
  <c r="J32" i="17"/>
  <c r="J33" i="17"/>
  <c r="CA61" i="1"/>
  <c r="L46" i="17"/>
  <c r="U106" i="1"/>
  <c r="J45" i="17"/>
  <c r="J44" i="17"/>
  <c r="J43" i="17"/>
  <c r="CI52" i="1"/>
  <c r="CI61" i="1" s="1"/>
  <c r="U52" i="1"/>
  <c r="J28" i="17"/>
  <c r="J27" i="17"/>
  <c r="CF52" i="1"/>
  <c r="CF61" i="1" s="1"/>
  <c r="L34" i="17"/>
  <c r="U68" i="1"/>
  <c r="J30" i="17"/>
  <c r="J31" i="17"/>
  <c r="L29" i="17"/>
  <c r="L47" i="17"/>
  <c r="CJ80" i="1"/>
  <c r="CJ104" i="1"/>
  <c r="CF104" i="1"/>
  <c r="CI80" i="1"/>
  <c r="CI104" i="1"/>
  <c r="CF80" i="1"/>
  <c r="M122" i="1"/>
  <c r="M104" i="1"/>
  <c r="S80" i="1"/>
  <c r="BQ69" i="1"/>
  <c r="BR69" i="1" s="1"/>
  <c r="BQ54" i="1"/>
  <c r="BR54" i="1" s="1"/>
  <c r="BQ68" i="1"/>
  <c r="BR68" i="1" s="1"/>
  <c r="BQ67" i="1"/>
  <c r="BR67" i="1" s="1"/>
  <c r="BQ64" i="1"/>
  <c r="BR64" i="1" s="1"/>
  <c r="BQ59" i="1"/>
  <c r="BQ121" i="1"/>
  <c r="BR121" i="1" s="1"/>
  <c r="O167" i="1"/>
  <c r="O152" i="1"/>
  <c r="J46" i="17" l="1"/>
  <c r="J34" i="17"/>
  <c r="J29" i="17"/>
  <c r="J47" i="17"/>
  <c r="BK104" i="6"/>
  <c r="T61" i="6"/>
  <c r="U61" i="6"/>
  <c r="V61" i="6"/>
  <c r="W61" i="6"/>
  <c r="X61" i="6"/>
  <c r="Y61" i="6"/>
  <c r="Z61" i="6"/>
  <c r="AA61" i="6"/>
  <c r="AB61" i="6"/>
  <c r="AC61" i="6"/>
  <c r="AD61" i="6"/>
  <c r="AE61" i="6"/>
  <c r="AF61" i="6"/>
  <c r="AG61" i="6"/>
  <c r="AH61" i="6"/>
  <c r="AI61" i="6"/>
  <c r="AJ61" i="6"/>
  <c r="AK61" i="6"/>
  <c r="AL61" i="6"/>
  <c r="AM61" i="6"/>
  <c r="AN61" i="6"/>
  <c r="AO61" i="6"/>
  <c r="AP61" i="6"/>
  <c r="AQ61" i="6"/>
  <c r="AR61" i="6"/>
  <c r="AS61" i="6"/>
  <c r="AT61" i="6"/>
  <c r="AU61" i="6"/>
  <c r="AV61" i="6"/>
  <c r="AW61" i="6"/>
  <c r="AX61" i="6"/>
  <c r="AY61" i="6"/>
  <c r="AZ61" i="6"/>
  <c r="BA61" i="6"/>
  <c r="BB61" i="6"/>
  <c r="BC61" i="6"/>
  <c r="BG61" i="6"/>
  <c r="BH61" i="6"/>
  <c r="BI61" i="6"/>
  <c r="BJ61" i="6"/>
  <c r="BK61" i="6"/>
  <c r="BL61" i="6"/>
  <c r="BM61" i="6"/>
  <c r="BN61" i="6"/>
  <c r="T80" i="6"/>
  <c r="U80" i="6"/>
  <c r="V80" i="6"/>
  <c r="W80" i="6"/>
  <c r="X80" i="6"/>
  <c r="Y80" i="6"/>
  <c r="Z80" i="6"/>
  <c r="AA80" i="6"/>
  <c r="AB80" i="6"/>
  <c r="AC80" i="6"/>
  <c r="AD80" i="6"/>
  <c r="AE80" i="6"/>
  <c r="AF80" i="6"/>
  <c r="AG80" i="6"/>
  <c r="AH80" i="6"/>
  <c r="AI80" i="6"/>
  <c r="AJ80" i="6"/>
  <c r="AK80" i="6"/>
  <c r="AL80" i="6"/>
  <c r="AM80" i="6"/>
  <c r="AN80" i="6"/>
  <c r="AO80" i="6"/>
  <c r="AP80" i="6"/>
  <c r="AQ80" i="6"/>
  <c r="AR80" i="6"/>
  <c r="AS80" i="6"/>
  <c r="AT80" i="6"/>
  <c r="AU80" i="6"/>
  <c r="AV80" i="6"/>
  <c r="AW80" i="6"/>
  <c r="AX80" i="6"/>
  <c r="AY80" i="6"/>
  <c r="AZ80" i="6"/>
  <c r="BA80" i="6"/>
  <c r="BB80" i="6"/>
  <c r="BC80" i="6"/>
  <c r="BG80" i="6"/>
  <c r="BH80" i="6"/>
  <c r="BI80" i="6"/>
  <c r="BJ80" i="6"/>
  <c r="BK80" i="6"/>
  <c r="BL80" i="6"/>
  <c r="BM80" i="6"/>
  <c r="BN80" i="6"/>
  <c r="U104" i="6"/>
  <c r="V104" i="6"/>
  <c r="W104" i="6"/>
  <c r="X104" i="6"/>
  <c r="Y104" i="6"/>
  <c r="Z104" i="6"/>
  <c r="AA104" i="6"/>
  <c r="AB104" i="6"/>
  <c r="AC104" i="6"/>
  <c r="AD104" i="6"/>
  <c r="AE104" i="6"/>
  <c r="AF104" i="6"/>
  <c r="AG104" i="6"/>
  <c r="AH104" i="6"/>
  <c r="AI104" i="6"/>
  <c r="AJ104" i="6"/>
  <c r="AK104" i="6"/>
  <c r="AL104" i="6"/>
  <c r="AM104" i="6"/>
  <c r="AN104" i="6"/>
  <c r="AO104" i="6"/>
  <c r="AP104" i="6"/>
  <c r="AQ104" i="6"/>
  <c r="AR104" i="6"/>
  <c r="AS104" i="6"/>
  <c r="AT104" i="6"/>
  <c r="AU104" i="6"/>
  <c r="AV104" i="6"/>
  <c r="AW104" i="6"/>
  <c r="AX104" i="6"/>
  <c r="AY104" i="6"/>
  <c r="AZ104" i="6"/>
  <c r="BA104" i="6"/>
  <c r="BB104" i="6"/>
  <c r="BC104" i="6"/>
  <c r="BG104" i="6"/>
  <c r="BH104" i="6"/>
  <c r="BI104" i="6"/>
  <c r="BJ104" i="6"/>
  <c r="BL104" i="6"/>
  <c r="BM104" i="6"/>
  <c r="BN104" i="6"/>
  <c r="AF122" i="6"/>
  <c r="AG122" i="6"/>
  <c r="AH122" i="6"/>
  <c r="AI122" i="6"/>
  <c r="AJ122" i="6"/>
  <c r="AK122" i="6"/>
  <c r="AL122" i="6"/>
  <c r="AM122" i="6"/>
  <c r="AN122" i="6"/>
  <c r="AO122" i="6"/>
  <c r="AP122" i="6"/>
  <c r="AQ122" i="6"/>
  <c r="AR122" i="6"/>
  <c r="AS122" i="6"/>
  <c r="AT122" i="6"/>
  <c r="AU122" i="6"/>
  <c r="AV122" i="6"/>
  <c r="AW122" i="6"/>
  <c r="AX122" i="6"/>
  <c r="AY122" i="6"/>
  <c r="AZ122" i="6"/>
  <c r="BA122" i="6"/>
  <c r="BB122" i="6"/>
  <c r="BC122" i="6"/>
  <c r="BG122" i="6"/>
  <c r="BH122" i="6"/>
  <c r="BI122" i="6"/>
  <c r="BJ122" i="6"/>
  <c r="BK122" i="6"/>
  <c r="BL122" i="6"/>
  <c r="BM122" i="6"/>
  <c r="BN122" i="6"/>
  <c r="I122" i="6"/>
  <c r="H122" i="6"/>
  <c r="G122" i="6"/>
  <c r="F122" i="6"/>
  <c r="E122" i="6"/>
  <c r="D122" i="6"/>
  <c r="C122" i="6"/>
  <c r="B122" i="6"/>
  <c r="B106" i="6"/>
  <c r="C106" i="6"/>
  <c r="D106" i="6"/>
  <c r="E106" i="6"/>
  <c r="F106" i="6"/>
  <c r="G106" i="6"/>
  <c r="H106" i="6"/>
  <c r="P106" i="6"/>
  <c r="Q106" i="6"/>
  <c r="R106" i="6"/>
  <c r="S106" i="6"/>
  <c r="B107" i="6"/>
  <c r="C107" i="6"/>
  <c r="D107" i="6"/>
  <c r="E107" i="6"/>
  <c r="F107" i="6"/>
  <c r="G107" i="6"/>
  <c r="H107" i="6"/>
  <c r="I107" i="6"/>
  <c r="P107" i="6"/>
  <c r="Q107" i="6"/>
  <c r="R107" i="6"/>
  <c r="S107" i="6"/>
  <c r="B108" i="6"/>
  <c r="C108" i="6"/>
  <c r="D108" i="6"/>
  <c r="E108" i="6"/>
  <c r="F108" i="6"/>
  <c r="G108" i="6"/>
  <c r="H108" i="6"/>
  <c r="I108" i="6"/>
  <c r="P108" i="6"/>
  <c r="Q108" i="6"/>
  <c r="R108" i="6"/>
  <c r="S108" i="6"/>
  <c r="B109" i="6"/>
  <c r="C109" i="6"/>
  <c r="D109" i="6"/>
  <c r="E109" i="6"/>
  <c r="F109" i="6"/>
  <c r="G109" i="6"/>
  <c r="H109" i="6"/>
  <c r="I109" i="6"/>
  <c r="P109" i="6"/>
  <c r="Q109" i="6"/>
  <c r="R109" i="6"/>
  <c r="S109" i="6"/>
  <c r="B110" i="6"/>
  <c r="C110" i="6"/>
  <c r="D110" i="6"/>
  <c r="E110" i="6"/>
  <c r="F110" i="6"/>
  <c r="G110" i="6"/>
  <c r="H110" i="6"/>
  <c r="I110" i="6"/>
  <c r="P110" i="6"/>
  <c r="Q110" i="6"/>
  <c r="R110" i="6"/>
  <c r="S110" i="6"/>
  <c r="B111" i="6"/>
  <c r="C111" i="6"/>
  <c r="D111" i="6"/>
  <c r="E111" i="6"/>
  <c r="F111" i="6"/>
  <c r="G111" i="6"/>
  <c r="H111" i="6"/>
  <c r="I111" i="6"/>
  <c r="P111" i="6"/>
  <c r="Q111" i="6"/>
  <c r="R111" i="6"/>
  <c r="S111" i="6"/>
  <c r="B112" i="6"/>
  <c r="C112" i="6"/>
  <c r="D112" i="6"/>
  <c r="E112" i="6"/>
  <c r="F112" i="6"/>
  <c r="G112" i="6"/>
  <c r="H112" i="6"/>
  <c r="I112" i="6"/>
  <c r="P112" i="6"/>
  <c r="Q112" i="6"/>
  <c r="R112" i="6"/>
  <c r="S112" i="6"/>
  <c r="B113" i="6"/>
  <c r="C113" i="6"/>
  <c r="D113" i="6"/>
  <c r="E113" i="6"/>
  <c r="F113" i="6"/>
  <c r="G113" i="6"/>
  <c r="H113" i="6"/>
  <c r="I113" i="6"/>
  <c r="P113" i="6"/>
  <c r="Q113" i="6"/>
  <c r="R113" i="6"/>
  <c r="S113" i="6"/>
  <c r="B114" i="6"/>
  <c r="C114" i="6"/>
  <c r="D114" i="6"/>
  <c r="E114" i="6"/>
  <c r="F114" i="6"/>
  <c r="G114" i="6"/>
  <c r="H114" i="6"/>
  <c r="I114" i="6"/>
  <c r="P114" i="6"/>
  <c r="Q114" i="6"/>
  <c r="R114" i="6"/>
  <c r="S114" i="6"/>
  <c r="B115" i="6"/>
  <c r="C115" i="6"/>
  <c r="D115" i="6"/>
  <c r="E115" i="6"/>
  <c r="F115" i="6"/>
  <c r="G115" i="6"/>
  <c r="H115" i="6"/>
  <c r="I115" i="6"/>
  <c r="P115" i="6"/>
  <c r="Q115" i="6"/>
  <c r="R115" i="6"/>
  <c r="S115" i="6"/>
  <c r="B116" i="6"/>
  <c r="C116" i="6"/>
  <c r="D116" i="6"/>
  <c r="E116" i="6"/>
  <c r="F116" i="6"/>
  <c r="G116" i="6"/>
  <c r="H116" i="6"/>
  <c r="I116" i="6"/>
  <c r="P116" i="6"/>
  <c r="Q116" i="6"/>
  <c r="R116" i="6"/>
  <c r="S116" i="6"/>
  <c r="S105" i="6"/>
  <c r="R105" i="6"/>
  <c r="Q105" i="6"/>
  <c r="P105" i="6"/>
  <c r="O105" i="6"/>
  <c r="I105" i="6"/>
  <c r="H105" i="6"/>
  <c r="G105" i="6"/>
  <c r="F105" i="6"/>
  <c r="E105" i="6"/>
  <c r="D105" i="6"/>
  <c r="C105" i="6"/>
  <c r="B105" i="6"/>
  <c r="T104" i="6"/>
  <c r="I104" i="6"/>
  <c r="H104" i="6"/>
  <c r="G104" i="6"/>
  <c r="F104" i="6"/>
  <c r="E104" i="6"/>
  <c r="D104" i="6"/>
  <c r="C104" i="6"/>
  <c r="B104" i="6"/>
  <c r="A82" i="6"/>
  <c r="B82" i="6"/>
  <c r="C82" i="6"/>
  <c r="D82" i="6"/>
  <c r="E82" i="6"/>
  <c r="F82" i="6"/>
  <c r="G82" i="6"/>
  <c r="H82" i="6"/>
  <c r="I82" i="6"/>
  <c r="K82" i="6"/>
  <c r="M82" i="6"/>
  <c r="O82" i="6"/>
  <c r="P82" i="6"/>
  <c r="Q82" i="6"/>
  <c r="R82" i="6"/>
  <c r="S82" i="6"/>
  <c r="A83" i="6"/>
  <c r="B83" i="6"/>
  <c r="C83" i="6"/>
  <c r="D83" i="6"/>
  <c r="E83" i="6"/>
  <c r="F83" i="6"/>
  <c r="G83" i="6"/>
  <c r="H83" i="6"/>
  <c r="I83" i="6"/>
  <c r="K83" i="6"/>
  <c r="M83" i="6"/>
  <c r="O83" i="6"/>
  <c r="P83" i="6"/>
  <c r="Q83" i="6"/>
  <c r="R83" i="6"/>
  <c r="S83" i="6"/>
  <c r="A84" i="6"/>
  <c r="B84" i="6"/>
  <c r="C84" i="6"/>
  <c r="D84" i="6"/>
  <c r="E84" i="6"/>
  <c r="F84" i="6"/>
  <c r="G84" i="6"/>
  <c r="H84" i="6"/>
  <c r="I84" i="6"/>
  <c r="K84" i="6"/>
  <c r="M84" i="6"/>
  <c r="O84" i="6"/>
  <c r="P84" i="6"/>
  <c r="Q84" i="6"/>
  <c r="R84" i="6"/>
  <c r="S84" i="6"/>
  <c r="A85" i="6"/>
  <c r="B85" i="6"/>
  <c r="C85" i="6"/>
  <c r="D85" i="6"/>
  <c r="E85" i="6"/>
  <c r="F85" i="6"/>
  <c r="G85" i="6"/>
  <c r="H85" i="6"/>
  <c r="I85" i="6"/>
  <c r="K85" i="6"/>
  <c r="M85" i="6"/>
  <c r="O85" i="6"/>
  <c r="P85" i="6"/>
  <c r="Q85" i="6"/>
  <c r="R85" i="6"/>
  <c r="S85" i="6"/>
  <c r="A86" i="6"/>
  <c r="B86" i="6"/>
  <c r="C86" i="6"/>
  <c r="D86" i="6"/>
  <c r="E86" i="6"/>
  <c r="F86" i="6"/>
  <c r="G86" i="6"/>
  <c r="H86" i="6"/>
  <c r="I86" i="6"/>
  <c r="K86" i="6"/>
  <c r="M86" i="6"/>
  <c r="O86" i="6"/>
  <c r="P86" i="6"/>
  <c r="Q86" i="6"/>
  <c r="R86" i="6"/>
  <c r="S86" i="6"/>
  <c r="A88" i="6"/>
  <c r="B88" i="6"/>
  <c r="C88" i="6"/>
  <c r="D88" i="6"/>
  <c r="E88" i="6"/>
  <c r="F88" i="6"/>
  <c r="G88" i="6"/>
  <c r="H88" i="6"/>
  <c r="I88" i="6"/>
  <c r="K88" i="6"/>
  <c r="M88" i="6"/>
  <c r="O88" i="6"/>
  <c r="P88" i="6"/>
  <c r="Q88" i="6"/>
  <c r="R88" i="6"/>
  <c r="S88" i="6"/>
  <c r="A89" i="6"/>
  <c r="B89" i="6"/>
  <c r="C89" i="6"/>
  <c r="D89" i="6"/>
  <c r="E89" i="6"/>
  <c r="F89" i="6"/>
  <c r="G89" i="6"/>
  <c r="H89" i="6"/>
  <c r="I89" i="6"/>
  <c r="K89" i="6"/>
  <c r="M89" i="6"/>
  <c r="O89" i="6"/>
  <c r="P89" i="6"/>
  <c r="Q89" i="6"/>
  <c r="R89" i="6"/>
  <c r="S89" i="6"/>
  <c r="A90" i="6"/>
  <c r="B90" i="6"/>
  <c r="C90" i="6"/>
  <c r="D90" i="6"/>
  <c r="E90" i="6"/>
  <c r="F90" i="6"/>
  <c r="G90" i="6"/>
  <c r="H90" i="6"/>
  <c r="I90" i="6"/>
  <c r="K90" i="6"/>
  <c r="M90" i="6"/>
  <c r="O90" i="6"/>
  <c r="P90" i="6"/>
  <c r="Q90" i="6"/>
  <c r="R90" i="6"/>
  <c r="S90" i="6"/>
  <c r="A91" i="6"/>
  <c r="B91" i="6"/>
  <c r="C91" i="6"/>
  <c r="D91" i="6"/>
  <c r="E91" i="6"/>
  <c r="F91" i="6"/>
  <c r="G91" i="6"/>
  <c r="H91" i="6"/>
  <c r="I91" i="6"/>
  <c r="K91" i="6"/>
  <c r="M91" i="6"/>
  <c r="O91" i="6"/>
  <c r="P91" i="6"/>
  <c r="Q91" i="6"/>
  <c r="R91" i="6"/>
  <c r="S91" i="6"/>
  <c r="A92" i="6"/>
  <c r="B92" i="6"/>
  <c r="C92" i="6"/>
  <c r="D92" i="6"/>
  <c r="E92" i="6"/>
  <c r="F92" i="6"/>
  <c r="G92" i="6"/>
  <c r="H92" i="6"/>
  <c r="I92" i="6"/>
  <c r="K92" i="6"/>
  <c r="M92" i="6"/>
  <c r="O92" i="6"/>
  <c r="P92" i="6"/>
  <c r="Q92" i="6"/>
  <c r="R92" i="6"/>
  <c r="S92" i="6"/>
  <c r="A93" i="6"/>
  <c r="B93" i="6"/>
  <c r="C93" i="6"/>
  <c r="D93" i="6"/>
  <c r="E93" i="6"/>
  <c r="F93" i="6"/>
  <c r="G93" i="6"/>
  <c r="H93" i="6"/>
  <c r="I93" i="6"/>
  <c r="K93" i="6"/>
  <c r="M93" i="6"/>
  <c r="O93" i="6"/>
  <c r="P93" i="6"/>
  <c r="Q93" i="6"/>
  <c r="R93" i="6"/>
  <c r="S93" i="6"/>
  <c r="A94" i="6"/>
  <c r="B94" i="6"/>
  <c r="C94" i="6"/>
  <c r="D94" i="6"/>
  <c r="E94" i="6"/>
  <c r="F94" i="6"/>
  <c r="G94" i="6"/>
  <c r="H94" i="6"/>
  <c r="I94" i="6"/>
  <c r="K94" i="6"/>
  <c r="M94" i="6"/>
  <c r="O94" i="6"/>
  <c r="P94" i="6"/>
  <c r="Q94" i="6"/>
  <c r="R94" i="6"/>
  <c r="S94" i="6"/>
  <c r="A95" i="6"/>
  <c r="B95" i="6"/>
  <c r="C95" i="6"/>
  <c r="D95" i="6"/>
  <c r="E95" i="6"/>
  <c r="F95" i="6"/>
  <c r="G95" i="6"/>
  <c r="H95" i="6"/>
  <c r="I95" i="6"/>
  <c r="K95" i="6"/>
  <c r="M95" i="6"/>
  <c r="O95" i="6"/>
  <c r="P95" i="6"/>
  <c r="Q95" i="6"/>
  <c r="R95" i="6"/>
  <c r="S95" i="6"/>
  <c r="A96" i="6"/>
  <c r="B96" i="6"/>
  <c r="C96" i="6"/>
  <c r="D96" i="6"/>
  <c r="E96" i="6"/>
  <c r="F96" i="6"/>
  <c r="G96" i="6"/>
  <c r="H96" i="6"/>
  <c r="P96" i="6"/>
  <c r="Q96" i="6"/>
  <c r="R96" i="6"/>
  <c r="S96" i="6"/>
  <c r="A97" i="6"/>
  <c r="B97" i="6"/>
  <c r="C97" i="6"/>
  <c r="D97" i="6"/>
  <c r="E97" i="6"/>
  <c r="F97" i="6"/>
  <c r="G97" i="6"/>
  <c r="H97" i="6"/>
  <c r="I97" i="6"/>
  <c r="K97" i="6"/>
  <c r="M97" i="6"/>
  <c r="O97" i="6"/>
  <c r="P97" i="6"/>
  <c r="Q97" i="6"/>
  <c r="R97" i="6"/>
  <c r="S97" i="6"/>
  <c r="A98" i="6"/>
  <c r="B98" i="6"/>
  <c r="C98" i="6"/>
  <c r="D98" i="6"/>
  <c r="E98" i="6"/>
  <c r="F98" i="6"/>
  <c r="G98" i="6"/>
  <c r="H98" i="6"/>
  <c r="I98" i="6"/>
  <c r="K98" i="6"/>
  <c r="M98" i="6"/>
  <c r="O98" i="6"/>
  <c r="P98" i="6"/>
  <c r="Q98" i="6"/>
  <c r="R98" i="6"/>
  <c r="S98" i="6"/>
  <c r="A99" i="6"/>
  <c r="B99" i="6"/>
  <c r="C99" i="6"/>
  <c r="D99" i="6"/>
  <c r="E99" i="6"/>
  <c r="F99" i="6"/>
  <c r="G99" i="6"/>
  <c r="H99" i="6"/>
  <c r="I99" i="6"/>
  <c r="K99" i="6"/>
  <c r="M99" i="6"/>
  <c r="O99" i="6"/>
  <c r="P99" i="6"/>
  <c r="Q99" i="6"/>
  <c r="R99" i="6"/>
  <c r="S99" i="6"/>
  <c r="A100" i="6"/>
  <c r="B100" i="6"/>
  <c r="C100" i="6"/>
  <c r="D100" i="6"/>
  <c r="E100" i="6"/>
  <c r="F100" i="6"/>
  <c r="G100" i="6"/>
  <c r="H100" i="6"/>
  <c r="I100" i="6"/>
  <c r="K100" i="6"/>
  <c r="M100" i="6"/>
  <c r="O100" i="6"/>
  <c r="P100" i="6"/>
  <c r="Q100" i="6"/>
  <c r="R100" i="6"/>
  <c r="S100" i="6"/>
  <c r="S81" i="6"/>
  <c r="R81" i="6"/>
  <c r="Q81" i="6"/>
  <c r="P81" i="6"/>
  <c r="O81" i="6"/>
  <c r="M81" i="6"/>
  <c r="K81" i="6"/>
  <c r="I81" i="6"/>
  <c r="H81" i="6"/>
  <c r="G81" i="6"/>
  <c r="F81" i="6"/>
  <c r="E81" i="6"/>
  <c r="D81" i="6"/>
  <c r="C81" i="6"/>
  <c r="B81" i="6"/>
  <c r="A81" i="6"/>
  <c r="I80" i="6"/>
  <c r="H80" i="6"/>
  <c r="G80" i="6"/>
  <c r="F80" i="6"/>
  <c r="E80" i="6"/>
  <c r="D80" i="6"/>
  <c r="C80" i="6"/>
  <c r="B80" i="6"/>
  <c r="P62" i="6"/>
  <c r="O62" i="6"/>
  <c r="M62" i="6"/>
  <c r="K62" i="6"/>
  <c r="I62" i="6"/>
  <c r="H62" i="6"/>
  <c r="G62" i="6"/>
  <c r="F62" i="6"/>
  <c r="E62" i="6"/>
  <c r="D62" i="6"/>
  <c r="C62" i="6"/>
  <c r="B62" i="6"/>
  <c r="A62" i="6"/>
  <c r="P53" i="6"/>
  <c r="P51" i="6"/>
  <c r="P49" i="6"/>
  <c r="P48" i="6"/>
  <c r="P47" i="6"/>
  <c r="P46" i="6"/>
  <c r="P44" i="6"/>
  <c r="P43" i="6"/>
  <c r="M48" i="6"/>
  <c r="I61" i="6"/>
  <c r="H61" i="6"/>
  <c r="G61" i="6"/>
  <c r="F61" i="6"/>
  <c r="E61" i="6"/>
  <c r="D61" i="6"/>
  <c r="C61" i="6"/>
  <c r="B61" i="6"/>
  <c r="A44" i="6"/>
  <c r="B44" i="6"/>
  <c r="C44" i="6"/>
  <c r="D44" i="6"/>
  <c r="E44" i="6"/>
  <c r="F44" i="6"/>
  <c r="G44" i="6"/>
  <c r="H44" i="6"/>
  <c r="I44" i="6"/>
  <c r="K44" i="6"/>
  <c r="M44" i="6"/>
  <c r="O44" i="6"/>
  <c r="A46" i="6"/>
  <c r="B46" i="6"/>
  <c r="C46" i="6"/>
  <c r="D46" i="6"/>
  <c r="E46" i="6"/>
  <c r="F46" i="6"/>
  <c r="G46" i="6"/>
  <c r="H46" i="6"/>
  <c r="I46" i="6"/>
  <c r="K46" i="6"/>
  <c r="M46" i="6"/>
  <c r="O46" i="6"/>
  <c r="A47" i="6"/>
  <c r="B47" i="6"/>
  <c r="C47" i="6"/>
  <c r="D47" i="6"/>
  <c r="E47" i="6"/>
  <c r="F47" i="6"/>
  <c r="G47" i="6"/>
  <c r="H47" i="6"/>
  <c r="I47" i="6"/>
  <c r="K47" i="6"/>
  <c r="M47" i="6"/>
  <c r="O47" i="6"/>
  <c r="A48" i="6"/>
  <c r="B48" i="6"/>
  <c r="C48" i="6"/>
  <c r="D48" i="6"/>
  <c r="E48" i="6"/>
  <c r="F48" i="6"/>
  <c r="G48" i="6"/>
  <c r="H48" i="6"/>
  <c r="I48" i="6"/>
  <c r="K48" i="6"/>
  <c r="O48" i="6"/>
  <c r="A49" i="6"/>
  <c r="B49" i="6"/>
  <c r="C49" i="6"/>
  <c r="D49" i="6"/>
  <c r="E49" i="6"/>
  <c r="F49" i="6"/>
  <c r="G49" i="6"/>
  <c r="H49" i="6"/>
  <c r="I49" i="6"/>
  <c r="K49" i="6"/>
  <c r="M49" i="6"/>
  <c r="O49" i="6"/>
  <c r="A51" i="6"/>
  <c r="B51" i="6"/>
  <c r="C51" i="6"/>
  <c r="D51" i="6"/>
  <c r="E51" i="6"/>
  <c r="F51" i="6"/>
  <c r="G51" i="6"/>
  <c r="H51" i="6"/>
  <c r="I51" i="6"/>
  <c r="K51" i="6"/>
  <c r="M51" i="6"/>
  <c r="O51" i="6"/>
  <c r="A53" i="6"/>
  <c r="B53" i="6"/>
  <c r="C53" i="6"/>
  <c r="D53" i="6"/>
  <c r="E53" i="6"/>
  <c r="F53" i="6"/>
  <c r="G53" i="6"/>
  <c r="H53" i="6"/>
  <c r="I53" i="6"/>
  <c r="K53" i="6"/>
  <c r="M53" i="6"/>
  <c r="O53" i="6"/>
  <c r="D42" i="6"/>
  <c r="E42" i="6"/>
  <c r="F42" i="6"/>
  <c r="G42" i="6"/>
  <c r="H42" i="6"/>
  <c r="I42" i="6"/>
  <c r="B42" i="6"/>
  <c r="C42" i="6"/>
  <c r="A43" i="6"/>
  <c r="B43" i="6"/>
  <c r="C43" i="6"/>
  <c r="D43" i="6"/>
  <c r="E43" i="6"/>
  <c r="F43" i="6"/>
  <c r="G43" i="6"/>
  <c r="H43" i="6"/>
  <c r="I43" i="6"/>
  <c r="K43" i="6"/>
  <c r="M43" i="6"/>
  <c r="O43" i="6"/>
  <c r="Q104" i="6" l="1"/>
  <c r="M104" i="6"/>
  <c r="Q122" i="6"/>
  <c r="R122" i="6"/>
  <c r="S122" i="6"/>
  <c r="M80" i="6"/>
  <c r="M61" i="6"/>
  <c r="S104" i="6"/>
  <c r="R104" i="6"/>
  <c r="G12" i="3"/>
  <c r="F12" i="3"/>
  <c r="G9" i="3"/>
  <c r="H9" i="3" s="1"/>
  <c r="V123" i="1"/>
  <c r="W123" i="1"/>
  <c r="X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O141" i="1"/>
  <c r="AP104" i="1"/>
  <c r="K104" i="1"/>
  <c r="V122" i="1"/>
  <c r="W122" i="1"/>
  <c r="X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K122" i="1"/>
  <c r="J122" i="1"/>
  <c r="J104" i="1"/>
  <c r="BO104" i="1"/>
  <c r="BN104" i="1"/>
  <c r="BM104" i="1"/>
  <c r="BL104" i="1"/>
  <c r="BK104" i="1"/>
  <c r="BJ104" i="1"/>
  <c r="BI104" i="1"/>
  <c r="BH104" i="1"/>
  <c r="BG104" i="1"/>
  <c r="BF104" i="1"/>
  <c r="BE104" i="1"/>
  <c r="BD104" i="1"/>
  <c r="BC104" i="1"/>
  <c r="BB104" i="1"/>
  <c r="BA104" i="1"/>
  <c r="AZ104" i="1"/>
  <c r="AY104" i="1"/>
  <c r="AU104" i="1"/>
  <c r="AT104" i="1"/>
  <c r="AS104" i="1"/>
  <c r="AR104" i="1"/>
  <c r="AQ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X104" i="1"/>
  <c r="W104" i="1"/>
  <c r="V104" i="1"/>
  <c r="P104" i="11" s="1"/>
  <c r="V80" i="1"/>
  <c r="P80" i="11" s="1"/>
  <c r="W80" i="1"/>
  <c r="X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K80" i="1"/>
  <c r="J80" i="1"/>
  <c r="K61" i="1"/>
  <c r="J61" i="1"/>
  <c r="J42" i="1"/>
  <c r="K42" i="1"/>
  <c r="V61" i="1"/>
  <c r="P61" i="11" s="1"/>
  <c r="W61" i="1"/>
  <c r="V42" i="1"/>
  <c r="P42" i="11" s="1"/>
  <c r="W42" i="1"/>
  <c r="X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F8" i="3"/>
  <c r="F7" i="3"/>
  <c r="F6" i="3"/>
  <c r="O144" i="1"/>
  <c r="Q144" i="1" s="1"/>
  <c r="O143" i="1"/>
  <c r="O137" i="1"/>
  <c r="O136" i="1"/>
  <c r="O135" i="1"/>
  <c r="O134" i="1"/>
  <c r="Q49" i="6"/>
  <c r="R49" i="6"/>
  <c r="S49" i="6"/>
  <c r="Q51" i="6"/>
  <c r="R51" i="6"/>
  <c r="S51" i="6"/>
  <c r="Q53" i="6"/>
  <c r="R53" i="6"/>
  <c r="S53" i="6"/>
  <c r="Q62" i="6"/>
  <c r="R62" i="6"/>
  <c r="S62" i="6"/>
  <c r="S48" i="6"/>
  <c r="R48" i="6"/>
  <c r="Q48" i="6"/>
  <c r="Q21" i="6"/>
  <c r="R21" i="6"/>
  <c r="S21" i="6"/>
  <c r="Q22" i="6"/>
  <c r="R22" i="6"/>
  <c r="S22" i="6"/>
  <c r="Q23" i="6"/>
  <c r="R23" i="6"/>
  <c r="S23" i="6"/>
  <c r="Q24" i="6"/>
  <c r="R24" i="6"/>
  <c r="S24" i="6"/>
  <c r="Q25" i="6"/>
  <c r="R25" i="6"/>
  <c r="S25" i="6"/>
  <c r="Q27" i="6"/>
  <c r="R27" i="6"/>
  <c r="S27" i="6"/>
  <c r="Q28" i="6"/>
  <c r="R28" i="6"/>
  <c r="S28" i="6"/>
  <c r="Q29" i="6"/>
  <c r="R29" i="6"/>
  <c r="S29" i="6"/>
  <c r="Q30" i="6"/>
  <c r="R30" i="6"/>
  <c r="S30" i="6"/>
  <c r="Q33" i="6"/>
  <c r="R33" i="6"/>
  <c r="S33" i="6"/>
  <c r="Q34" i="6"/>
  <c r="R34" i="6"/>
  <c r="S34" i="6"/>
  <c r="Q35" i="6"/>
  <c r="R35" i="6"/>
  <c r="S35" i="6"/>
  <c r="Q36" i="6"/>
  <c r="R36" i="6"/>
  <c r="S36" i="6"/>
  <c r="Q37" i="6"/>
  <c r="R37" i="6"/>
  <c r="S37" i="6"/>
  <c r="Q38" i="6"/>
  <c r="R38" i="6"/>
  <c r="S38" i="6"/>
  <c r="Q39" i="6"/>
  <c r="R39" i="6"/>
  <c r="S39" i="6"/>
  <c r="Q40" i="6"/>
  <c r="R40" i="6"/>
  <c r="S40" i="6"/>
  <c r="Q41" i="6"/>
  <c r="R41" i="6"/>
  <c r="S41" i="6"/>
  <c r="Q43" i="6"/>
  <c r="R43" i="6"/>
  <c r="S43" i="6"/>
  <c r="Q44" i="6"/>
  <c r="R44" i="6"/>
  <c r="S44" i="6"/>
  <c r="Q46" i="6"/>
  <c r="R46" i="6"/>
  <c r="S46" i="6"/>
  <c r="Q47" i="6"/>
  <c r="R47" i="6"/>
  <c r="S47" i="6"/>
  <c r="S20" i="6"/>
  <c r="R20" i="6"/>
  <c r="Q20" i="6"/>
  <c r="AQ126" i="1" l="1"/>
  <c r="K42" i="11"/>
  <c r="O42" i="11"/>
  <c r="M42" i="11"/>
  <c r="Q42" i="6"/>
  <c r="K80" i="11"/>
  <c r="K104" i="11"/>
  <c r="P80" i="6"/>
  <c r="P61" i="6"/>
  <c r="P104" i="6"/>
  <c r="P42" i="6"/>
  <c r="Q123" i="6"/>
  <c r="P140" i="1"/>
  <c r="U153" i="1"/>
  <c r="G41" i="3"/>
  <c r="H41" i="3" s="1"/>
  <c r="G26" i="3"/>
  <c r="H26" i="3" s="1"/>
  <c r="P172" i="1"/>
  <c r="Q172" i="1" s="1"/>
  <c r="P171" i="1"/>
  <c r="Q171" i="1" s="1"/>
  <c r="G24" i="3"/>
  <c r="H24" i="3" s="1"/>
  <c r="G40" i="3"/>
  <c r="H40" i="3" s="1"/>
  <c r="G25" i="3"/>
  <c r="H25" i="3" s="1"/>
  <c r="Q156" i="1"/>
  <c r="P155" i="1"/>
  <c r="Q155" i="1" s="1"/>
  <c r="P157" i="1"/>
  <c r="Q157" i="1" s="1"/>
  <c r="P170" i="1"/>
  <c r="Q170" i="1" s="1"/>
  <c r="G39" i="3"/>
  <c r="H39" i="3" s="1"/>
  <c r="N85" i="6"/>
  <c r="K61" i="6"/>
  <c r="N98" i="6"/>
  <c r="N99" i="6"/>
  <c r="N95" i="6"/>
  <c r="L91" i="6"/>
  <c r="N91" i="6"/>
  <c r="N86" i="6"/>
  <c r="L94" i="6"/>
  <c r="N94" i="6"/>
  <c r="L90" i="6"/>
  <c r="N90" i="6"/>
  <c r="N97" i="6"/>
  <c r="L93" i="6"/>
  <c r="N93" i="6"/>
  <c r="N89" i="6"/>
  <c r="L84" i="6"/>
  <c r="N84" i="6"/>
  <c r="N81" i="6"/>
  <c r="L82" i="6"/>
  <c r="N82" i="6"/>
  <c r="N100" i="6"/>
  <c r="L92" i="6"/>
  <c r="N92" i="6"/>
  <c r="N88" i="6"/>
  <c r="N83" i="6"/>
  <c r="K104" i="6"/>
  <c r="O104" i="6"/>
  <c r="K80" i="6"/>
  <c r="K42" i="6"/>
  <c r="R123" i="6"/>
  <c r="S123" i="6"/>
  <c r="S80" i="6"/>
  <c r="R80" i="6"/>
  <c r="Q80" i="6"/>
  <c r="S61" i="6"/>
  <c r="R61" i="6"/>
  <c r="Q61" i="6"/>
  <c r="R42" i="6"/>
  <c r="S42" i="6"/>
  <c r="G11" i="3"/>
  <c r="H11" i="3" s="1"/>
  <c r="H12" i="3"/>
  <c r="J123" i="1"/>
  <c r="AA122" i="1"/>
  <c r="K123" i="1"/>
  <c r="Q122" i="1"/>
  <c r="O122" i="11" s="1"/>
  <c r="N122" i="1"/>
  <c r="K122" i="11" s="1"/>
  <c r="AX122" i="1"/>
  <c r="N104" i="1"/>
  <c r="Q104" i="1"/>
  <c r="AA104" i="1"/>
  <c r="AX104" i="1"/>
  <c r="L89" i="6"/>
  <c r="L99" i="6"/>
  <c r="L86" i="6"/>
  <c r="L98" i="6"/>
  <c r="K122" i="6" l="1"/>
  <c r="O122" i="6"/>
  <c r="V151" i="1"/>
  <c r="U152" i="1"/>
  <c r="L85" i="6"/>
  <c r="V149" i="1"/>
  <c r="U149" i="1"/>
  <c r="U151" i="1"/>
  <c r="V152" i="1"/>
  <c r="AV122" i="1"/>
  <c r="V153" i="1"/>
  <c r="BQ95" i="1"/>
  <c r="BR95" i="1" s="1"/>
  <c r="BQ107" i="1"/>
  <c r="BR107" i="1" s="1"/>
  <c r="J95" i="6"/>
  <c r="L95" i="6"/>
  <c r="L97" i="6"/>
  <c r="L100" i="6"/>
  <c r="N104" i="6"/>
  <c r="J100" i="6"/>
  <c r="J83" i="6"/>
  <c r="L83" i="6"/>
  <c r="L81" i="6"/>
  <c r="L88" i="6"/>
  <c r="J82" i="6"/>
  <c r="AW122" i="1"/>
  <c r="Z122" i="1"/>
  <c r="P122" i="1"/>
  <c r="N122" i="11" s="1"/>
  <c r="P104" i="1"/>
  <c r="Z104" i="1"/>
  <c r="AW104" i="1"/>
  <c r="J98" i="6"/>
  <c r="M20" i="6"/>
  <c r="M123" i="6" s="1"/>
  <c r="Q140" i="1"/>
  <c r="N43" i="6"/>
  <c r="N44" i="6"/>
  <c r="N46" i="6"/>
  <c r="N47" i="6"/>
  <c r="N122" i="6" l="1"/>
  <c r="U154" i="1"/>
  <c r="V154" i="1"/>
  <c r="G23" i="3"/>
  <c r="H23" i="3" s="1"/>
  <c r="P154" i="1"/>
  <c r="Q154" i="1" s="1"/>
  <c r="Q142" i="1"/>
  <c r="G13" i="3"/>
  <c r="P169" i="1"/>
  <c r="Q169" i="1" s="1"/>
  <c r="G38" i="3"/>
  <c r="H38" i="3" s="1"/>
  <c r="BQ72" i="1"/>
  <c r="BR72" i="1" s="1"/>
  <c r="J92" i="6"/>
  <c r="BQ94" i="1"/>
  <c r="BR94" i="1" s="1"/>
  <c r="J90" i="6"/>
  <c r="J91" i="6"/>
  <c r="BQ73" i="1"/>
  <c r="BR73" i="1" s="1"/>
  <c r="J84" i="6"/>
  <c r="J94" i="6"/>
  <c r="J88" i="6"/>
  <c r="J93" i="6"/>
  <c r="BQ70" i="1"/>
  <c r="BR70" i="1" s="1"/>
  <c r="J97" i="6"/>
  <c r="J99" i="6"/>
  <c r="M42" i="6"/>
  <c r="BQ71" i="1"/>
  <c r="BR71" i="1" s="1"/>
  <c r="BQ86" i="1"/>
  <c r="BR86" i="1" s="1"/>
  <c r="J89" i="6"/>
  <c r="J81" i="6"/>
  <c r="BQ109" i="1"/>
  <c r="BR109" i="1" s="1"/>
  <c r="J86" i="6"/>
  <c r="J85" i="6"/>
  <c r="BQ75" i="1"/>
  <c r="BR75" i="1" s="1"/>
  <c r="Y122" i="1"/>
  <c r="O122" i="1"/>
  <c r="L122" i="11" s="1"/>
  <c r="Y104" i="1"/>
  <c r="O104" i="1"/>
  <c r="AV104" i="1"/>
  <c r="L47" i="6"/>
  <c r="L46" i="6"/>
  <c r="L43" i="6"/>
  <c r="L44" i="6"/>
  <c r="Q141" i="1"/>
  <c r="Q138" i="1"/>
  <c r="J104" i="11" l="1"/>
  <c r="L122" i="6"/>
  <c r="BQ106" i="1"/>
  <c r="BR106" i="1" s="1"/>
  <c r="J104" i="6"/>
  <c r="U122" i="1"/>
  <c r="R122" i="1"/>
  <c r="BQ105" i="1"/>
  <c r="BR105" i="1" s="1"/>
  <c r="J122" i="11"/>
  <c r="S122" i="1"/>
  <c r="T122" i="1"/>
  <c r="S104" i="1"/>
  <c r="R104" i="1"/>
  <c r="BQ96" i="1"/>
  <c r="BR96" i="1" s="1"/>
  <c r="T104" i="1"/>
  <c r="U104" i="1"/>
  <c r="J43" i="6"/>
  <c r="J122" i="6" l="1"/>
  <c r="BQ74" i="1"/>
  <c r="BR74" i="1" s="1"/>
  <c r="BQ76" i="1"/>
  <c r="BR76" i="1" s="1"/>
  <c r="BQ48" i="1"/>
  <c r="BR48" i="1" s="1"/>
  <c r="J47" i="6"/>
  <c r="BQ46" i="1"/>
  <c r="BR46" i="1" s="1"/>
  <c r="J46" i="6"/>
  <c r="BQ58" i="1"/>
  <c r="BR58" i="1" s="1"/>
  <c r="J44" i="6"/>
  <c r="BQ65" i="1"/>
  <c r="BR65" i="1" s="1"/>
  <c r="BQ56" i="1" l="1"/>
  <c r="BR56" i="1" s="1"/>
  <c r="A20" i="6"/>
  <c r="P20" i="6" l="1"/>
  <c r="P123" i="6" s="1"/>
  <c r="I20" i="6"/>
  <c r="H20" i="6"/>
  <c r="G20" i="6"/>
  <c r="F20" i="6"/>
  <c r="E20" i="6"/>
  <c r="D20" i="6"/>
  <c r="C20" i="6"/>
  <c r="B20" i="6"/>
  <c r="O20" i="6"/>
  <c r="O123" i="6" s="1"/>
  <c r="K20" i="6"/>
  <c r="K123" i="6" s="1"/>
  <c r="Q24" i="1"/>
  <c r="N24" i="1"/>
  <c r="BW24" i="1" s="1"/>
  <c r="P148" i="1" l="1"/>
  <c r="BY24" i="1"/>
  <c r="CD24" i="1" s="1"/>
  <c r="BW123" i="1"/>
  <c r="BW42" i="1"/>
  <c r="N48" i="6"/>
  <c r="AX24" i="1"/>
  <c r="AA24" i="1"/>
  <c r="CD42" i="1" l="1"/>
  <c r="CD123" i="1"/>
  <c r="BY123" i="1"/>
  <c r="BY42" i="1"/>
  <c r="CC24" i="1"/>
  <c r="CB24" i="1"/>
  <c r="CE24" i="1"/>
  <c r="CA24" i="1"/>
  <c r="BZ24" i="1"/>
  <c r="N24" i="6"/>
  <c r="N24" i="11"/>
  <c r="N123" i="11" s="1"/>
  <c r="G10" i="3"/>
  <c r="H10" i="3" s="1"/>
  <c r="G36" i="3"/>
  <c r="H36" i="3" s="1"/>
  <c r="G21" i="3"/>
  <c r="H21" i="3" s="1"/>
  <c r="P152" i="1"/>
  <c r="Q152" i="1" s="1"/>
  <c r="P167" i="1"/>
  <c r="Q167" i="1" s="1"/>
  <c r="G8" i="3"/>
  <c r="H8" i="3" s="1"/>
  <c r="P137" i="1"/>
  <c r="Q137" i="1" s="1"/>
  <c r="N51" i="6"/>
  <c r="N20" i="6"/>
  <c r="P24" i="1"/>
  <c r="P42" i="1" s="1"/>
  <c r="O61" i="6"/>
  <c r="N53" i="6"/>
  <c r="O80" i="6"/>
  <c r="N62" i="6"/>
  <c r="N49" i="6"/>
  <c r="N123" i="1"/>
  <c r="P139" i="1"/>
  <c r="Q139" i="1" s="1"/>
  <c r="AA123" i="1"/>
  <c r="AX123" i="1"/>
  <c r="Q61" i="1"/>
  <c r="AA42" i="1"/>
  <c r="N42" i="1"/>
  <c r="AA61" i="1"/>
  <c r="Q80" i="1"/>
  <c r="AX42" i="1"/>
  <c r="AX80" i="1"/>
  <c r="AA80" i="1"/>
  <c r="CF24" i="1" l="1"/>
  <c r="CF42" i="1" s="1"/>
  <c r="CE42" i="1"/>
  <c r="CE123" i="1"/>
  <c r="CI24" i="1"/>
  <c r="BZ123" i="1"/>
  <c r="BZ42" i="1"/>
  <c r="CJ24" i="1"/>
  <c r="CA123" i="1"/>
  <c r="CA42" i="1"/>
  <c r="CB123" i="1"/>
  <c r="CB42" i="1"/>
  <c r="CC123" i="1"/>
  <c r="CC42" i="1"/>
  <c r="N42" i="11"/>
  <c r="N123" i="6"/>
  <c r="N80" i="6"/>
  <c r="N42" i="6"/>
  <c r="N61" i="6"/>
  <c r="P123" i="1"/>
  <c r="P61" i="1"/>
  <c r="P80" i="1"/>
  <c r="CF123" i="1" l="1"/>
  <c r="CJ123" i="1"/>
  <c r="CJ42" i="1"/>
  <c r="CI123" i="1"/>
  <c r="CI42" i="1"/>
  <c r="L53" i="6"/>
  <c r="L48" i="6"/>
  <c r="L49" i="6" l="1"/>
  <c r="L51" i="6"/>
  <c r="L62" i="6"/>
  <c r="AW80" i="1"/>
  <c r="Z80" i="1"/>
  <c r="J48" i="6"/>
  <c r="BQ49" i="1" l="1"/>
  <c r="BR49" i="1" s="1"/>
  <c r="BQ47" i="1"/>
  <c r="L80" i="6"/>
  <c r="J62" i="6"/>
  <c r="BQ43" i="1"/>
  <c r="BR43" i="1" s="1"/>
  <c r="BQ55" i="1"/>
  <c r="BR55" i="1" s="1"/>
  <c r="J53" i="6"/>
  <c r="J51" i="6"/>
  <c r="J49" i="6"/>
  <c r="BQ60" i="1"/>
  <c r="BR60" i="1" s="1"/>
  <c r="AV80" i="1"/>
  <c r="O80" i="1"/>
  <c r="Y80" i="1"/>
  <c r="BQ35" i="1"/>
  <c r="BR35" i="1" s="1"/>
  <c r="BQ52" i="1"/>
  <c r="BR52" i="1" s="1"/>
  <c r="BQ30" i="1"/>
  <c r="BR30" i="1" s="1"/>
  <c r="BQ20" i="1"/>
  <c r="BR20" i="1" s="1"/>
  <c r="BQ21" i="1"/>
  <c r="BR21" i="1" s="1"/>
  <c r="J80" i="11" l="1"/>
  <c r="BQ53" i="1"/>
  <c r="BR53" i="1" s="1"/>
  <c r="BR47" i="1"/>
  <c r="J80" i="6"/>
  <c r="M80" i="1"/>
  <c r="U80" i="1"/>
  <c r="R80" i="1"/>
  <c r="T80" i="1"/>
  <c r="BQ63" i="1"/>
  <c r="BR63" i="1" s="1"/>
  <c r="BQ62" i="1"/>
  <c r="BR62" i="1" s="1"/>
  <c r="BQ44" i="1"/>
  <c r="BR44" i="1" s="1"/>
  <c r="G32" i="3" l="1"/>
  <c r="H32" i="3" s="1"/>
  <c r="P163" i="1"/>
  <c r="Q163" i="1" s="1"/>
  <c r="G17" i="3"/>
  <c r="H17" i="3" s="1"/>
  <c r="O42" i="6"/>
  <c r="Q42" i="1"/>
  <c r="P133" i="1"/>
  <c r="G4" i="3"/>
  <c r="H4" i="3" s="1"/>
  <c r="Q123" i="1"/>
  <c r="Q148" i="1" l="1"/>
  <c r="AC142" i="1"/>
  <c r="Q133" i="1"/>
  <c r="Z61" i="1" l="1"/>
  <c r="Z24" i="1"/>
  <c r="AW24" i="1"/>
  <c r="AW123" i="1" s="1"/>
  <c r="L24" i="11" l="1"/>
  <c r="L123" i="11" s="1"/>
  <c r="L24" i="6"/>
  <c r="Z123" i="1"/>
  <c r="O61" i="1"/>
  <c r="L61" i="6"/>
  <c r="AW42" i="1"/>
  <c r="Z42" i="1"/>
  <c r="Y61" i="1"/>
  <c r="J61" i="11" s="1"/>
  <c r="BQ31" i="1"/>
  <c r="BR31" i="1" s="1"/>
  <c r="BQ34" i="1"/>
  <c r="BR34" i="1" s="1"/>
  <c r="BQ23" i="1"/>
  <c r="BR23" i="1" s="1"/>
  <c r="BQ27" i="1"/>
  <c r="BR27" i="1" s="1"/>
  <c r="BQ39" i="1"/>
  <c r="BR39" i="1" s="1"/>
  <c r="L20" i="6"/>
  <c r="O24" i="1"/>
  <c r="BQ25" i="1"/>
  <c r="BR25" i="1" s="1"/>
  <c r="BQ28" i="1"/>
  <c r="BR28" i="1" s="1"/>
  <c r="BQ37" i="1"/>
  <c r="BR37" i="1" s="1"/>
  <c r="BQ22" i="1"/>
  <c r="BR22" i="1" s="1"/>
  <c r="BR40" i="1"/>
  <c r="BQ29" i="1"/>
  <c r="BR29" i="1" s="1"/>
  <c r="AV24" i="1"/>
  <c r="AV123" i="1" s="1"/>
  <c r="Y24" i="1"/>
  <c r="P147" i="1" l="1"/>
  <c r="O123" i="1"/>
  <c r="P168" i="1"/>
  <c r="L42" i="11"/>
  <c r="J24" i="11"/>
  <c r="J123" i="11" s="1"/>
  <c r="J24" i="6"/>
  <c r="L123" i="6"/>
  <c r="J61" i="6"/>
  <c r="Y123" i="1"/>
  <c r="O42" i="1"/>
  <c r="G31" i="3"/>
  <c r="G16" i="3"/>
  <c r="P162" i="1"/>
  <c r="L42" i="6"/>
  <c r="G3" i="3"/>
  <c r="H3" i="3" s="1"/>
  <c r="P132" i="1"/>
  <c r="M61" i="1"/>
  <c r="Y42" i="1"/>
  <c r="AV42" i="1"/>
  <c r="S61" i="1"/>
  <c r="U61" i="1"/>
  <c r="R61" i="1"/>
  <c r="T61" i="1"/>
  <c r="BQ38" i="1"/>
  <c r="BR38" i="1" s="1"/>
  <c r="M24" i="1"/>
  <c r="J20" i="6"/>
  <c r="T24" i="1"/>
  <c r="P151" i="1" s="1"/>
  <c r="Q151" i="1" s="1"/>
  <c r="R24" i="1"/>
  <c r="R123" i="1" s="1"/>
  <c r="P145" i="1" l="1"/>
  <c r="P176" i="1" s="1"/>
  <c r="Q176" i="1" s="1"/>
  <c r="U24" i="1"/>
  <c r="P149" i="1" s="1"/>
  <c r="Q149" i="1" s="1"/>
  <c r="AC146" i="1"/>
  <c r="AD146" i="1" s="1"/>
  <c r="P146" i="1"/>
  <c r="AC147" i="1" s="1"/>
  <c r="M42" i="1"/>
  <c r="J42" i="11"/>
  <c r="J123" i="6"/>
  <c r="M123" i="1"/>
  <c r="J42" i="6"/>
  <c r="G22" i="3"/>
  <c r="H22" i="3" s="1"/>
  <c r="H31" i="3"/>
  <c r="G29" i="3"/>
  <c r="G46" i="3" s="1"/>
  <c r="H46" i="3" s="1"/>
  <c r="G14" i="3"/>
  <c r="G30" i="3"/>
  <c r="G15" i="3"/>
  <c r="H16" i="3"/>
  <c r="P161" i="1"/>
  <c r="P153" i="1"/>
  <c r="G37" i="3"/>
  <c r="H37" i="3" s="1"/>
  <c r="Q162" i="1"/>
  <c r="P160" i="1"/>
  <c r="Q147" i="1"/>
  <c r="P166" i="1"/>
  <c r="Q166" i="1" s="1"/>
  <c r="G20" i="3"/>
  <c r="H20" i="3" s="1"/>
  <c r="G35" i="3"/>
  <c r="H35" i="3" s="1"/>
  <c r="P136" i="1"/>
  <c r="P143" i="1"/>
  <c r="Q143" i="1" s="1"/>
  <c r="S123" i="1"/>
  <c r="T123" i="1"/>
  <c r="G6" i="3"/>
  <c r="H6" i="3" s="1"/>
  <c r="P135" i="1"/>
  <c r="G7" i="3"/>
  <c r="H7" i="3" s="1"/>
  <c r="S42" i="1"/>
  <c r="R42" i="1"/>
  <c r="T42" i="1"/>
  <c r="Q132" i="1"/>
  <c r="BQ24" i="1"/>
  <c r="AC145" i="1" l="1"/>
  <c r="AD145" i="1" s="1"/>
  <c r="G19" i="3"/>
  <c r="H19" i="3" s="1"/>
  <c r="G45" i="3"/>
  <c r="H45" i="3" s="1"/>
  <c r="Q160" i="1"/>
  <c r="P177" i="1"/>
  <c r="Q177" i="1" s="1"/>
  <c r="AE131" i="1"/>
  <c r="AF138" i="1" s="1"/>
  <c r="AF139" i="1" s="1"/>
  <c r="P150" i="1"/>
  <c r="Q150" i="1" s="1"/>
  <c r="U123" i="1"/>
  <c r="P134" i="1"/>
  <c r="G5" i="3"/>
  <c r="H5" i="3" s="1"/>
  <c r="U42" i="1"/>
  <c r="G18" i="3"/>
  <c r="H18" i="3" s="1"/>
  <c r="G33" i="3"/>
  <c r="H33" i="3" s="1"/>
  <c r="P164" i="1"/>
  <c r="Q164" i="1" s="1"/>
  <c r="O146" i="1"/>
  <c r="H29" i="3"/>
  <c r="F30" i="3"/>
  <c r="H30" i="3" s="1"/>
  <c r="G34" i="3"/>
  <c r="H34" i="3" s="1"/>
  <c r="Q145" i="1"/>
  <c r="H14" i="3"/>
  <c r="F15" i="3"/>
  <c r="H15" i="3" s="1"/>
  <c r="P165" i="1"/>
  <c r="Q168" i="1"/>
  <c r="Q153" i="1"/>
  <c r="Q135" i="1"/>
  <c r="Q136" i="1"/>
  <c r="BR24" i="1"/>
  <c r="Q1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Iwona Janus</author>
  </authors>
  <commentList>
    <comment ref="G12" authorId="0" shapeId="0" xr:uid="{5CAE48B4-937E-4C77-84F1-4E5B1A147918}">
      <text>
        <r>
          <rPr>
            <b/>
            <sz val="9"/>
            <color indexed="81"/>
            <rFont val="Tahoma"/>
            <family val="2"/>
            <charset val="238"/>
          </rPr>
          <t>MPS:</t>
        </r>
        <r>
          <rPr>
            <sz val="9"/>
            <color indexed="81"/>
            <rFont val="Tahoma"/>
            <family val="2"/>
            <charset val="238"/>
          </rPr>
          <t xml:space="preserve">
tutaj powinno być doprecyzowane że chodzi o godziny dydaktyczne, bez nalładu samodzielnej pracy studenta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Iwona Janus</author>
  </authors>
  <commentList>
    <comment ref="G12" authorId="0" shapeId="0" xr:uid="{A67586E1-11B9-4C74-8133-EE907FC1C788}">
      <text>
        <r>
          <rPr>
            <b/>
            <sz val="9"/>
            <color indexed="81"/>
            <rFont val="Tahoma"/>
            <family val="2"/>
            <charset val="238"/>
          </rPr>
          <t>MPS:</t>
        </r>
        <r>
          <rPr>
            <sz val="9"/>
            <color indexed="81"/>
            <rFont val="Tahoma"/>
            <family val="2"/>
            <charset val="238"/>
          </rPr>
          <t xml:space="preserve">
tutaj powinno być doprecyzowane że chodzi o godziny dydaktyczne, bez nalładu samodzielnej pracy studenta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UMW</author>
  </authors>
  <commentList>
    <comment ref="AU1" authorId="0" shapeId="0" xr:uid="{FDD19EC1-1E83-4975-A472-8E34A59C565E}">
      <text>
        <r>
          <rPr>
            <b/>
            <sz val="9"/>
            <color indexed="81"/>
            <rFont val="Tahoma"/>
            <family val="2"/>
            <charset val="238"/>
          </rPr>
          <t>UMW:</t>
        </r>
        <r>
          <rPr>
            <sz val="9"/>
            <color indexed="81"/>
            <rFont val="Tahoma"/>
            <family val="2"/>
            <charset val="238"/>
          </rPr>
          <t xml:space="preserve">
przeniesione z zimy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Iwona Janus</author>
  </authors>
  <commentList>
    <comment ref="G12" authorId="0" shapeId="0" xr:uid="{68D5B0DE-B795-4BD9-BB5B-9109BC5B0F6C}">
      <text>
        <r>
          <rPr>
            <b/>
            <sz val="9"/>
            <color indexed="81"/>
            <rFont val="Tahoma"/>
            <family val="2"/>
            <charset val="238"/>
          </rPr>
          <t>MPS:</t>
        </r>
        <r>
          <rPr>
            <sz val="9"/>
            <color indexed="81"/>
            <rFont val="Tahoma"/>
            <family val="2"/>
            <charset val="238"/>
          </rPr>
          <t xml:space="preserve">
tutaj powinno być doprecyzowane że chodzi o godziny dydaktyczne, bez nalładu samodzielnej pracy studenta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Iwona Janus</author>
  </authors>
  <commentList>
    <comment ref="G12" authorId="0" shapeId="0" xr:uid="{85F20E36-31BA-4F85-A0FF-686B7902C951}">
      <text>
        <r>
          <rPr>
            <b/>
            <sz val="9"/>
            <color indexed="81"/>
            <rFont val="Tahoma"/>
            <family val="2"/>
            <charset val="238"/>
          </rPr>
          <t>MPS:</t>
        </r>
        <r>
          <rPr>
            <sz val="9"/>
            <color indexed="81"/>
            <rFont val="Tahoma"/>
            <family val="2"/>
            <charset val="238"/>
          </rPr>
          <t xml:space="preserve">
tutaj powinno być doprecyzowane że chodzi o godziny dydaktyczne, bez nalładu samodzielnej pracy studenta</t>
        </r>
      </text>
    </comment>
  </commentList>
</comments>
</file>

<file path=xl/sharedStrings.xml><?xml version="1.0" encoding="utf-8"?>
<sst xmlns="http://schemas.openxmlformats.org/spreadsheetml/2006/main" count="3400" uniqueCount="976">
  <si>
    <t>Uniwersytetu Medycznego we Wrocławiu</t>
  </si>
  <si>
    <t>Lp.</t>
  </si>
  <si>
    <t>Przedmiot (nazwa)</t>
  </si>
  <si>
    <t>semestr zimowy - I</t>
  </si>
  <si>
    <t>semestr letni - II</t>
  </si>
  <si>
    <t>SUMA PUNKTÓW ECTS ZA PRZEDMIOT</t>
  </si>
  <si>
    <t>wykład (WY)</t>
  </si>
  <si>
    <t>seminarium (SE)</t>
  </si>
  <si>
    <t>ćwiczenia audytoryjne (CA)</t>
  </si>
  <si>
    <t>ćwiczenia kierunkowe - niekliniczne (CN)</t>
  </si>
  <si>
    <t>ćwiczenia laboratoryjne (CL)</t>
  </si>
  <si>
    <t>ćwiczenia kliniczne (CK)</t>
  </si>
  <si>
    <t>zajęcia praktyczne przy pacjencie (PP)</t>
  </si>
  <si>
    <t>ćwiczenia specjalistyczne - magisterskie (CM)</t>
  </si>
  <si>
    <t>lektoraty (LE)</t>
  </si>
  <si>
    <t>e-learning (EL)</t>
  </si>
  <si>
    <t>praktyka zawodowa (PZ)</t>
  </si>
  <si>
    <t>liczba godzin z nauczycielem</t>
  </si>
  <si>
    <t>ogólna liczba godzin dydaktycznych</t>
  </si>
  <si>
    <t>punkty ECTS w semestrze</t>
  </si>
  <si>
    <t>ćwiczenia audytoryjne CA)</t>
  </si>
  <si>
    <t>RAZEM</t>
  </si>
  <si>
    <t>uchwała Senatu nr…. z dnia …..202….</t>
  </si>
  <si>
    <t>Wydział</t>
  </si>
  <si>
    <t>Kierunek</t>
  </si>
  <si>
    <t>Forma studiów</t>
  </si>
  <si>
    <t>Szczegółowy Program Studiów dla cyklu kształcenia rozpoczynającego się w roku akademickim: 20../20..</t>
  </si>
  <si>
    <t>Cykl kształcenia</t>
  </si>
  <si>
    <t>łącznie dla przedmiotu</t>
  </si>
  <si>
    <t>całkowity nakład pracy studenta</t>
  </si>
  <si>
    <t>UWAGI</t>
  </si>
  <si>
    <t>wartość</t>
  </si>
  <si>
    <t>Rok studiów</t>
  </si>
  <si>
    <t>Rok akademicki</t>
  </si>
  <si>
    <t>RPS- obowiązkowe</t>
  </si>
  <si>
    <t>POW- ograniczonego wyboru</t>
  </si>
  <si>
    <t>PSW- swobodnego wyboru</t>
  </si>
  <si>
    <t xml:space="preserve">zal zaliczenie </t>
  </si>
  <si>
    <t>zal/o zaliczenie na ocenę</t>
  </si>
  <si>
    <t xml:space="preserve"> egz egzamin</t>
  </si>
  <si>
    <t>kod grupy*</t>
  </si>
  <si>
    <t>OBJAŚNIENIA</t>
  </si>
  <si>
    <t>W Centrum Symulacji Medycznej</t>
  </si>
  <si>
    <t>W Pracowni dydaktycznej</t>
  </si>
  <si>
    <t>Poziom kształcenia</t>
  </si>
  <si>
    <t>z dnia  …..20.. r.</t>
  </si>
  <si>
    <t>Profil kształcenia</t>
  </si>
  <si>
    <t>Liczba semestrów</t>
  </si>
  <si>
    <t>Łączna liczba godzin</t>
  </si>
  <si>
    <t>Łączna liczba ECTS</t>
  </si>
  <si>
    <t>Cykl kształcenia (nabór)</t>
  </si>
  <si>
    <t>Ścieżka**</t>
  </si>
  <si>
    <r>
      <t xml:space="preserve">Rodzaj zajęć***
</t>
    </r>
    <r>
      <rPr>
        <b/>
        <sz val="9"/>
        <color theme="1"/>
        <rFont val="Calibri"/>
        <family val="2"/>
        <charset val="238"/>
        <scheme val="minor"/>
      </rPr>
      <t>(RPS, POW, PSW)</t>
    </r>
  </si>
  <si>
    <t>***Rodzaj zajęć:</t>
  </si>
  <si>
    <t>zajęcia wychowania fizycznego (WF)</t>
  </si>
  <si>
    <t>samokształcenie kierowane (SK)</t>
  </si>
  <si>
    <t>egz</t>
  </si>
  <si>
    <t>zal</t>
  </si>
  <si>
    <t>LICZBA GODZIN W PRZELICZENIU NA 1 ECTS</t>
  </si>
  <si>
    <t>RPS</t>
  </si>
  <si>
    <t>POW</t>
  </si>
  <si>
    <t>CSM WW</t>
  </si>
  <si>
    <t>CSM NW</t>
  </si>
  <si>
    <t>CSP NW</t>
  </si>
  <si>
    <t>łącznie</t>
  </si>
  <si>
    <t>w tym on-line</t>
  </si>
  <si>
    <t>Łącznie</t>
  </si>
  <si>
    <t>samodzielna praca studenta</t>
  </si>
  <si>
    <t>SAMODZIELNA PRACA STUDENTA</t>
  </si>
  <si>
    <t>SUMA GODZIN PRZEDMIOTU</t>
  </si>
  <si>
    <t>GODZINY Z NAUCZYCIELEM</t>
  </si>
  <si>
    <t>NAKŁAD PRACY STUDENTA (godz. dyd. + samodzielna praca)</t>
  </si>
  <si>
    <t>GODZINY DYDAKTYCZNE</t>
  </si>
  <si>
    <t>nakład pracy studenta (godz. dyd. + samodzielna praca)</t>
  </si>
  <si>
    <t>12+35</t>
  </si>
  <si>
    <t>Wskażnik</t>
  </si>
  <si>
    <t>wg standardu</t>
  </si>
  <si>
    <t>za zajecia praktyczne (PP)</t>
  </si>
  <si>
    <t>LP</t>
  </si>
  <si>
    <t>%</t>
  </si>
  <si>
    <t>realizacja wskaźnika</t>
  </si>
  <si>
    <t>uwagi do realizacji</t>
  </si>
  <si>
    <t>Nazwa grupy zajęć</t>
  </si>
  <si>
    <t>za zajęcia z wykorzystaniem met i technik na odl.</t>
  </si>
  <si>
    <t>za zajęcia z bezpośrednim udziałem prowadzących</t>
  </si>
  <si>
    <t>13+36</t>
  </si>
  <si>
    <t>14+37</t>
  </si>
  <si>
    <t>1/5</t>
  </si>
  <si>
    <r>
      <t xml:space="preserve">*kod grupy </t>
    </r>
    <r>
      <rPr>
        <sz val="11"/>
        <color theme="1"/>
        <rFont val="Calibri"/>
        <family val="2"/>
        <charset val="238"/>
        <scheme val="minor"/>
      </rPr>
      <t>wpisujemy w przypadku kierunków regulowanych- należy wpisać symbol grupy zajęć, do jakiej należy dany przedmiot, tzw. ”kod grupy”</t>
    </r>
  </si>
  <si>
    <r>
      <t xml:space="preserve">**Ścieżka- </t>
    </r>
    <r>
      <rPr>
        <sz val="11"/>
        <color theme="1"/>
        <rFont val="Calibri"/>
        <family val="2"/>
        <charset val="238"/>
        <scheme val="minor"/>
      </rPr>
      <t>dla kierunków na których realizowane są ścieżki</t>
    </r>
  </si>
  <si>
    <t>*kod grupy</t>
  </si>
  <si>
    <t>Nazwa godzaju zajęć</t>
  </si>
  <si>
    <t>obowiązkowe</t>
  </si>
  <si>
    <t>przedmiot swobodnego wyboru</t>
  </si>
  <si>
    <t>przedmiot ograniczonego wyboru</t>
  </si>
  <si>
    <t>PSW</t>
  </si>
  <si>
    <t>Nazwa formy zakończenia</t>
  </si>
  <si>
    <t>zaliczenie na ocenę</t>
  </si>
  <si>
    <t>egzamin</t>
  </si>
  <si>
    <t>zal/o</t>
  </si>
  <si>
    <t>zaliczenie (zal/nzal)</t>
  </si>
  <si>
    <t>ze standardu</t>
  </si>
  <si>
    <t>do dyspozycji uczelni (Autorska oferta uczelni)</t>
  </si>
  <si>
    <t>****Pula godzin</t>
  </si>
  <si>
    <t>****Pula godzin (ze standardu,
do dyspozycji uczelni (Autorska oferta uczelni))</t>
  </si>
  <si>
    <t xml:space="preserve">****Pula godzin </t>
  </si>
  <si>
    <t>2025/2026</t>
  </si>
  <si>
    <t>2026/2027</t>
  </si>
  <si>
    <t>sumy dla 1 roku</t>
  </si>
  <si>
    <t>sumy dla 2 roku</t>
  </si>
  <si>
    <t>******Forma zakończenia przedmiotu</t>
  </si>
  <si>
    <t>*******Forma zakończenia semestru</t>
  </si>
  <si>
    <t>57</t>
  </si>
  <si>
    <t>58</t>
  </si>
  <si>
    <t>33+56</t>
  </si>
  <si>
    <t>15+38</t>
  </si>
  <si>
    <t>(26+49)*5/3</t>
  </si>
  <si>
    <t>(17+29+40+52)*5/3</t>
  </si>
  <si>
    <t>14+33</t>
  </si>
  <si>
    <t>15+32</t>
  </si>
  <si>
    <t>(suma 16-31)-17</t>
  </si>
  <si>
    <t>37+56</t>
  </si>
  <si>
    <t>38+55</t>
  </si>
  <si>
    <t>(suma 39-54)-40</t>
  </si>
  <si>
    <t>Wiedza</t>
  </si>
  <si>
    <t>Umiejetności</t>
  </si>
  <si>
    <t>Kompetencje społeczne</t>
  </si>
  <si>
    <t>Suma efektów w poszczególnych kategoriach</t>
  </si>
  <si>
    <t>Matryca</t>
  </si>
  <si>
    <t>ECTS</t>
  </si>
  <si>
    <t>forma zakończenia przedmiotu</t>
  </si>
  <si>
    <t>W TYM TEORIA (WY+SE)</t>
  </si>
  <si>
    <t>Rodzaj zajęć***
(RPS, POW, PSW)</t>
  </si>
  <si>
    <t>Proporcje poszczególnych kategorii efektów dla przedmiotu</t>
  </si>
  <si>
    <t>-</t>
  </si>
  <si>
    <t>nie dotyczy</t>
  </si>
  <si>
    <t>Wydział Farmaceutyczny</t>
  </si>
  <si>
    <t>praktyczny</t>
  </si>
  <si>
    <t>stacjonarne</t>
  </si>
  <si>
    <t>K_W01</t>
  </si>
  <si>
    <t>podstawy chemii ogólnej i  nieorganicznej</t>
  </si>
  <si>
    <t>K_W02</t>
  </si>
  <si>
    <t>biofizyczne podstawy nauki o żywności  i analizy składu ciała</t>
  </si>
  <si>
    <t>K_W03</t>
  </si>
  <si>
    <t xml:space="preserve">anatomię człowieka ze szczególnym uwzględnieniem układu pokarmowego </t>
  </si>
  <si>
    <t>K_W04</t>
  </si>
  <si>
    <t>podstawy biochemii ogólnej i klinicznej</t>
  </si>
  <si>
    <t>K_W05</t>
  </si>
  <si>
    <t>mechanizmy dziedziczenia;</t>
  </si>
  <si>
    <t>K_W06</t>
  </si>
  <si>
    <t>genetyczne i środowiskowe uwarunkowania cech człowieka;</t>
  </si>
  <si>
    <t>K_W07</t>
  </si>
  <si>
    <t xml:space="preserve">choroby uwarunkowane genetycznie i ich związek z żywieniem </t>
  </si>
  <si>
    <t>K_W08</t>
  </si>
  <si>
    <t>funkcje fizjologiczne białek, tłuszczów, węglowodanów oraz elektrolitów, pierwiastków śladowych, witamin i hormonów;</t>
  </si>
  <si>
    <t>K_W09</t>
  </si>
  <si>
    <t>terminologię związaną z technologią potraw oraz podstawami towaroznawstwa;</t>
  </si>
  <si>
    <t>K_W10</t>
  </si>
  <si>
    <t xml:space="preserve">warunki sanitarno-higieniczne produkcji żywności w zakładach żywienia zbiorowego i przemysłu spożywczego </t>
  </si>
  <si>
    <t>K_W11</t>
  </si>
  <si>
    <t>podstawowe zasady organizacji pracy w zakładach żywienia zbiorowego typu zamkniętego i otwartego;</t>
  </si>
  <si>
    <t>K_W12</t>
  </si>
  <si>
    <t>procesy rozwoju osobniczego od dzieciństwa do późnej starości;</t>
  </si>
  <si>
    <t>K_W13</t>
  </si>
  <si>
    <t>psychologiczne uwarunkowania kontaktu z pacjentem, style komunikowania oraz bariery w komunikowaniu;</t>
  </si>
  <si>
    <t>K_W14</t>
  </si>
  <si>
    <t>wzajemne zależności pomiędzy układem pokarmowym a układem nerwowym, krążenia i oddychania, moczowym i dokrewnym;</t>
  </si>
  <si>
    <t>K_W15</t>
  </si>
  <si>
    <t>społeczne i ekonomiczne uwarunkowania zdrowia i choroby;</t>
  </si>
  <si>
    <t>K_W16</t>
  </si>
  <si>
    <t>przyczyny i skutki zaburzeń odżywiania;</t>
  </si>
  <si>
    <t>K_W17</t>
  </si>
  <si>
    <t>zasady zdrowego żywienia i stylu życia młodzieży i dorosłych;</t>
  </si>
  <si>
    <t>K_W18</t>
  </si>
  <si>
    <t>zasady i podstawy fizjologiczne dietetyki pediatrycznej oraz zasady żywienia kobiet w okresie ciąży i w okresie karmienia piersią;</t>
  </si>
  <si>
    <t>K_W19</t>
  </si>
  <si>
    <t>podstawy farmakologii i farmakoterapii żywieniowej;</t>
  </si>
  <si>
    <t>K_W20</t>
  </si>
  <si>
    <t>interakcje leków z żywnością i suplementami diety;</t>
  </si>
  <si>
    <t>K_W21</t>
  </si>
  <si>
    <t>wpływ chorób zakaźnych (w tym wirusowych) i chorób pasożytniczych na stan odżywienia</t>
  </si>
  <si>
    <t>K_W22</t>
  </si>
  <si>
    <t>pojęcia z zakresu medycyny klinicznej</t>
  </si>
  <si>
    <t>K_W23</t>
  </si>
  <si>
    <t>diagnostykę laboratoryjną na poziomie podstawowym</t>
  </si>
  <si>
    <t>K_W24</t>
  </si>
  <si>
    <t>organizację ochrony zdrowia w Polsce oraz programy profilaktyczne realizowane w ramach zdrowia publicznego</t>
  </si>
  <si>
    <t>K_W25</t>
  </si>
  <si>
    <t>cele i zadania zdrowia publicznego, czynniki determinujące zdrowie oraz aktualne problemy zdrowotne ludności w Polsce i metody ich zaspakajania</t>
  </si>
  <si>
    <t>K_W26</t>
  </si>
  <si>
    <t>podstawy prawa i ekonomiki w ochronie zdrowia;</t>
  </si>
  <si>
    <t>K_W27</t>
  </si>
  <si>
    <t>zasady i znaczenie promocji zdrowia, właściwego odżywiania i zdrowego stylu życia w profilaktyce chorób społecznych i dietozależnych;</t>
  </si>
  <si>
    <t>K_W28</t>
  </si>
  <si>
    <t>etyczne i prawne uwarunkowania zawodu dietetyka;</t>
  </si>
  <si>
    <t>K_W29</t>
  </si>
  <si>
    <t>wzajemne relacje pomiędzy przewlekłymi chorobami a stanem odżywienia;</t>
  </si>
  <si>
    <t>K_W30</t>
  </si>
  <si>
    <t>rolę dietetyka w monitorowaniu żywienia chorych w szpitalu;</t>
  </si>
  <si>
    <t>K_W31</t>
  </si>
  <si>
    <t>zasady udzielania pierwszej pomocy;</t>
  </si>
  <si>
    <t>K_W32</t>
  </si>
  <si>
    <t>ewolucję żywności, żywienia i diet</t>
  </si>
  <si>
    <t>K_W33</t>
  </si>
  <si>
    <t>podstawowe metody analizy składu i jakości poszczególnych grup produktów spożywczych;</t>
  </si>
  <si>
    <t>K_W34</t>
  </si>
  <si>
    <t>źródła i wpływ na zdrowie człowieka zanieczyszczeń występujących w żywności</t>
  </si>
  <si>
    <t>K_W35</t>
  </si>
  <si>
    <t>podstawy towaroznawstwa żywności pochodzenia zwierzęcego i roślinnego oraz rodzaje opakowań do żywności</t>
  </si>
  <si>
    <t>K_W36</t>
  </si>
  <si>
    <t>rodzaje, skład i wskazania do stosowania żywności dla szczególnych grup ludności</t>
  </si>
  <si>
    <t>K_W37</t>
  </si>
  <si>
    <t>metody oceny sposobu żywienia stosowane w badaniach epidemiologicznych</t>
  </si>
  <si>
    <t>K_W38</t>
  </si>
  <si>
    <t>zasady organizacji pracy i wyposażenia poradni dietetycznej</t>
  </si>
  <si>
    <t>K_W39</t>
  </si>
  <si>
    <t>psychologiczne mechanizmy zachowania człowieka, w tym zachowań związanych z odżywianiem</t>
  </si>
  <si>
    <t>K_W40</t>
  </si>
  <si>
    <t>specyfikę problemów psychologicznych pacjentów w chorobach somatycznych</t>
  </si>
  <si>
    <t>K_W41</t>
  </si>
  <si>
    <t>fizjologię człowieka ze szczególnym uwzględnieniem układu pokarmowego oraz procesów trawienia i wchłaniania</t>
  </si>
  <si>
    <t>K_W42</t>
  </si>
  <si>
    <t>podstawowe metody badań genetycznych i ich zastosowanie w diagnostyce chorób dziedzicznych</t>
  </si>
  <si>
    <t>K_W43</t>
  </si>
  <si>
    <t>podstawy parazytologii</t>
  </si>
  <si>
    <t>K_W44</t>
  </si>
  <si>
    <t>podstawy chemii żywności oraz wpływ warunków przechowywania i przetwarzania na składniki żywności</t>
  </si>
  <si>
    <t>K_W45</t>
  </si>
  <si>
    <t>budowę, nazewnictwo, metody otrzymywania i reaktywność związków organicznych, w tym związków występujących w żywności jako podstawowych jej składników odżywczych</t>
  </si>
  <si>
    <t>K_W46</t>
  </si>
  <si>
    <t>surowce pochodzenia naturalnego stosowane w lecznictwie oraz wykorzystywane w przemyśle spożywczym</t>
  </si>
  <si>
    <t>K_W47</t>
  </si>
  <si>
    <t>grupy związków chemicznych – metabolitów pierwotnych i wtórnych, decydujących o aktywności  biologicznej i farmakologicznej surowców roślinnych wykorzystywanych w produkcji żywności</t>
  </si>
  <si>
    <t>K_W48</t>
  </si>
  <si>
    <t>etapy cyklu  komórkowego, w tym molekularne aspekty jego regulacji</t>
  </si>
  <si>
    <t>K_W49</t>
  </si>
  <si>
    <t>o pozytywnych i negatywnych efektach oddziaływań zewnętrznych czynników biologicznych, chemicznych i  fizycznych  na organizm</t>
  </si>
  <si>
    <t>K_W50</t>
  </si>
  <si>
    <t>podstawy mikrobiologii ogólnej i żywności</t>
  </si>
  <si>
    <t>K_W51</t>
  </si>
  <si>
    <t>zagadnienia dotyczące mikrobiologii ogólnej oraz wpływ drobnoustrojów na jakość zdrowotną żywności oraz ich udział w procesach technologicznych</t>
  </si>
  <si>
    <t>K_W52</t>
  </si>
  <si>
    <t>metody przechowywania i utrwalania żywności, zmiany zachodzące podczas jej przechowywania</t>
  </si>
  <si>
    <t>K_W53</t>
  </si>
  <si>
    <t>wpływ chorób niezakaźnych na stan odżywienia</t>
  </si>
  <si>
    <t>K_W54</t>
  </si>
  <si>
    <t>zmiany organiczne, czynnościowe i metaboliczne zachodzące pod wpływem choroby i towarzyszących jej zaburzeń odżywiania</t>
  </si>
  <si>
    <t>K_W55</t>
  </si>
  <si>
    <t>podstawy immunologii klinicznej oraz wzajemne związki występujące pomiędzy stanem odżywienia i stanem odporności ustroju</t>
  </si>
  <si>
    <t>K_W56</t>
  </si>
  <si>
    <t xml:space="preserve">terminologię związaną z technologią żywności </t>
  </si>
  <si>
    <t>K_W57</t>
  </si>
  <si>
    <t>organizację stanowisk pracy zgodnie z wymogami ergonomii</t>
  </si>
  <si>
    <t>K_W58</t>
  </si>
  <si>
    <t>pojęcia z zakresu chirurgii ogólnej</t>
  </si>
  <si>
    <t>K_W59</t>
  </si>
  <si>
    <t>zasady postępowania żywieniowego i suplementacji w różnych rodzajach sportów</t>
  </si>
  <si>
    <t>K_W60</t>
  </si>
  <si>
    <t>założenia i znaczenie badań epidemiologicznych dotyczących związków miedzy żywieniem a występowaniem chorób</t>
  </si>
  <si>
    <t xml:space="preserve">K_W61 </t>
  </si>
  <si>
    <t>zasady i znaczenie stosowania suplementów diety</t>
  </si>
  <si>
    <t>K_W62</t>
  </si>
  <si>
    <t>zasady postępowania dietetycznego w chorobach kości i stawów, nerek, przewodu pokarmowego, alergiach i nietolerancjach pokarmowych, chorobach przebiegających z zaburzeniami metabolicznymi, w zależności od stopnia zaawansowania choroby</t>
  </si>
  <si>
    <t>K_W63</t>
  </si>
  <si>
    <t>ocenić składniki i produkty o działaniu pro- i antyzapalnym</t>
  </si>
  <si>
    <t>K_W64</t>
  </si>
  <si>
    <t>zasady postępowania dietetycznego w chorobach autoimmunologicznych, skóry, nowotworowych, w niedokrwistościach w zależności od stopnia zaawansowania choroby</t>
  </si>
  <si>
    <t>K_U01</t>
  </si>
  <si>
    <t>zastosować nazewnictwo chemiczne do wybranych grup produktów żywnościowych;</t>
  </si>
  <si>
    <t>K_U02</t>
  </si>
  <si>
    <t>wykonać podstawowe czynności laboratoryjne i obliczenia chemiczne związane z żywnością i żywieniem;</t>
  </si>
  <si>
    <t>K_U03</t>
  </si>
  <si>
    <t>wykonać wybrane procedury analizy chemicznej żywności</t>
  </si>
  <si>
    <t>K_U04</t>
  </si>
  <si>
    <t>zastosować terminologię fizyczną i biofizyczną do opisu i interpretacji zjawisk związanych z żywnością i żywieniem;</t>
  </si>
  <si>
    <t>K_U05</t>
  </si>
  <si>
    <t>wykonać podstawowe czynności laboratoryjne i obliczenia biofizyczne obejmujące żywienie i żywność;</t>
  </si>
  <si>
    <t>K_U06</t>
  </si>
  <si>
    <t>wykonać podstawowe procedury określania parametrów energetycznych żywności metodą kalorymetrii;</t>
  </si>
  <si>
    <t>K_U07</t>
  </si>
  <si>
    <t xml:space="preserve">wykorzystać w praktyce wiedzę z zakresu fizjologii </t>
  </si>
  <si>
    <t>K_U08</t>
  </si>
  <si>
    <t>zaplanować żywienie dostosowane do naturalnych etapów rozwoju człowieka;</t>
  </si>
  <si>
    <t>K_U09</t>
  </si>
  <si>
    <t>wykorzystać podstawy wiedzy psychologicznej w prowadzeniu edukacji żywieniowej;</t>
  </si>
  <si>
    <t>K_U10</t>
  </si>
  <si>
    <t>wdrażać zasady zdrowego żywienia i stylu życia dla młodzieży i dorosłych;</t>
  </si>
  <si>
    <t>K_U11</t>
  </si>
  <si>
    <t>rozpoznać problemy żywieniowe i dokonać korekty sposobu żywienia u osób z nieprawidłowa masą ciała (niedożywionych oraz/lub osób z nadwagą/otyłością)</t>
  </si>
  <si>
    <t>K_U12</t>
  </si>
  <si>
    <t>zastosować wiedzę o interakcjach leków z żywnością i suplementami diety</t>
  </si>
  <si>
    <t>K_U13</t>
  </si>
  <si>
    <t xml:space="preserve">wykorzystać w codziennej praktyce podstawy farmakologii i farmakoterapii żywieniowej; </t>
  </si>
  <si>
    <t>K_U14</t>
  </si>
  <si>
    <t>prowadzić edukację żywieniową dla osób zdrowych i chorych, ich rodzin oraz pracowników ochrony zdrowia;</t>
  </si>
  <si>
    <t>K_U15</t>
  </si>
  <si>
    <t>udzielić porady dietetycznej w ramach zespołu terapeutycznego;</t>
  </si>
  <si>
    <t>K_U16</t>
  </si>
  <si>
    <t>pracować w zespole wielodyscyplinarnym w celu zapewnienia ciągłości opieki nad pacjentem;</t>
  </si>
  <si>
    <t>K_U17</t>
  </si>
  <si>
    <t>przygotować materiały edukacyjne dla pacjenta;</t>
  </si>
  <si>
    <t>K_U18</t>
  </si>
  <si>
    <t>zaplanować i wdrożyć żywienie dostosowane do zaburzeń metabolicznych wywołanych urazem lub chorobą;</t>
  </si>
  <si>
    <t>K_U19</t>
  </si>
  <si>
    <t>przewidzieć skutki wstrzymania podaży pożywienia w przebiegu choroby i zaplanować odpowiednie postępowanie żywieniowe w celu zapobiegania następstwom głodzenia;</t>
  </si>
  <si>
    <t>K_U20</t>
  </si>
  <si>
    <t xml:space="preserve">wykorzystać wyniki badań laboratoryjnych w planowaniu żywienia; </t>
  </si>
  <si>
    <t>K_U21</t>
  </si>
  <si>
    <t>przeprowadzić wywiad żywieniowy i dokonać oceny stanu odżywienia w oparciu o badania przesiewowe i pogłębiona ocenę stanu odżywienia;</t>
  </si>
  <si>
    <t>K_U22</t>
  </si>
  <si>
    <t>dokonać odpowiedniego doboru surowców do produkcji potraw stosowanych w dietoterapii oraz zastosować odpowiednie techniki sporządzania potraw;</t>
  </si>
  <si>
    <t>K_U23</t>
  </si>
  <si>
    <t>obliczyć indywidualne zapotrzebowanie na energię oraz makro i mikroskładniki odżywcze;</t>
  </si>
  <si>
    <t>K_U24</t>
  </si>
  <si>
    <t>określić wartość odżywczą i energetyczną diet na podstawie tabel wartości odżywczej produktów spożywczych i typowych potraw oraz programów komputerowych;</t>
  </si>
  <si>
    <t>K_U25</t>
  </si>
  <si>
    <t>zaplanować i wdrożyć żywienia dostosowane do potrzeb osób w podeszłym wieku;</t>
  </si>
  <si>
    <t>K_U26</t>
  </si>
  <si>
    <t>w oparciu o znajomość fizjologii wysiłku zaplanować i wdrożyć żywienie dostosowane do rodzaju uprawianej dyscypliny sportowej</t>
  </si>
  <si>
    <t>K_U27</t>
  </si>
  <si>
    <t>zaplanować prawidłowe żywienia kobiety w ciąży i karmiącej</t>
  </si>
  <si>
    <t>K_U28</t>
  </si>
  <si>
    <t>posługiwać się zaleceniami żywieniowymi i normami stosowanymi w zakładach żywienia zbiorowego</t>
  </si>
  <si>
    <t>K_U29</t>
  </si>
  <si>
    <t xml:space="preserve">zaplanować i wdrożyć odpowiednie postępowanie żywieniowe w celu zapobiegania i leczenia chorób układu pokarmowego i metabolicznych </t>
  </si>
  <si>
    <t>K_U30</t>
  </si>
  <si>
    <t>obsługiwać programy komputerowe do pozyskiwania i gromadzenia danych związanych z wykonywanym zawodem</t>
  </si>
  <si>
    <t>K_U31</t>
  </si>
  <si>
    <t>porozumiewać się w języku obcym w stopniu umożliwiającym korzystanie z piśmiennictwa zawodowego i podstawową komunikację</t>
  </si>
  <si>
    <t>K_U32</t>
  </si>
  <si>
    <t>udzielić pierwszej pomocy w stanach zagrożenia życia</t>
  </si>
  <si>
    <t>K_U33</t>
  </si>
  <si>
    <t>stosować się do zasad bezpieczeństwa i higieny pracy oraz ergonomii</t>
  </si>
  <si>
    <t>K_U34</t>
  </si>
  <si>
    <t>wykorzystać w praktyce wiedzę z historii żywności, żywienia i diet</t>
  </si>
  <si>
    <t>K_U35</t>
  </si>
  <si>
    <t>wykorzystać w praktyce wiedzę z higieny, toksykologii i bezpieczeństwa żywności</t>
  </si>
  <si>
    <t>K_U36</t>
  </si>
  <si>
    <t>wykorzystać w praktyce wiedzę z towaroznawstwa żywności</t>
  </si>
  <si>
    <t>K_U37</t>
  </si>
  <si>
    <t>zastosować w praktyce żywność dla szczególnych grup ludności</t>
  </si>
  <si>
    <t>K_U38</t>
  </si>
  <si>
    <t>zastosować w praktyce zasady pisania prac naukowych</t>
  </si>
  <si>
    <t>K_U39</t>
  </si>
  <si>
    <t>opracować wyniki badań żywieniowych z zastosowaniem znajomości podstawowych pojęć statystyki opisowej</t>
  </si>
  <si>
    <t>K_U40</t>
  </si>
  <si>
    <t>korzystać z piśmiennictwa naukowego</t>
  </si>
  <si>
    <t>K_U41</t>
  </si>
  <si>
    <t>używać właściwej terminologii anatomicznej, precyzyjne opisać położenie poszczególnych narządów i wyjaśnić zależności między narządami</t>
  </si>
  <si>
    <t>K_U42</t>
  </si>
  <si>
    <t>wykonać proste testy czynnościowe oceniające człowieka jako układ regulacji stabilnej (testy obciążeniowe, wysiłkowe)</t>
  </si>
  <si>
    <t>K_U43</t>
  </si>
  <si>
    <t>udzielić wyjaśnień dotyczących badania przesiewowego noworodków</t>
  </si>
  <si>
    <t>K_U44</t>
  </si>
  <si>
    <t>wykorzystać w praktyce wiedzę z zakresu mikrobiologii ogólnej i żywności</t>
  </si>
  <si>
    <t>K_U45</t>
  </si>
  <si>
    <t>wykorzystać w praktyce wiedzę z zakresu parazytologii</t>
  </si>
  <si>
    <t>K_U46</t>
  </si>
  <si>
    <t>scharakteryzować interakcje w układzie pasożyt-żywiciel, wyjaśnić przyczyny objawów występujących w chorobach pasożytniczych oraz metody wykrywania pasożytów w materiale biologicznym i w środowisku</t>
  </si>
  <si>
    <t>K_U47</t>
  </si>
  <si>
    <t>wykorzystać w praktyce wiedzę z zakresu chemii żywności</t>
  </si>
  <si>
    <t>K_U48</t>
  </si>
  <si>
    <t>zinterpretować regulacje prawne w dziedzinie ochrony zdrowia</t>
  </si>
  <si>
    <t>K_U49</t>
  </si>
  <si>
    <t>sformułować opinie na temat spraw społecznych</t>
  </si>
  <si>
    <t>K_U50</t>
  </si>
  <si>
    <t>wykonać reakcje charakterystyczne wybranych kationów i anionów, sporządzić roztwory o różnym stężeniu, w tym buforowe</t>
  </si>
  <si>
    <t>K_U51</t>
  </si>
  <si>
    <t>wykonać podstawowe analizy z zakresu chemii organicznej</t>
  </si>
  <si>
    <t>K_U52</t>
  </si>
  <si>
    <t>udzielić informacji o leczniczym surowcu roślinnym, określa jego skład chemiczny, aktywność biologiczną, działania uboczne i interakcje z innymi składnikami żywności</t>
  </si>
  <si>
    <t>K_U53</t>
  </si>
  <si>
    <t>identyfikować i opisywać składniki strukturalne komórek, tkanek i narządów metodami mikroskopowymi</t>
  </si>
  <si>
    <t>K_U54</t>
  </si>
  <si>
    <t>przeprowadzić obserwację mikroskopową, rysunek i opis obrazu spod mikroskopu oraz potrafi ocenić czystość mikrobiologiczną otoczenia i opakowań</t>
  </si>
  <si>
    <t>K_U55</t>
  </si>
  <si>
    <t>opisywać i tłumaczyć mechanizmy i procesy immunologiczne w warunkach zdrowia i choroby</t>
  </si>
  <si>
    <t>K_U56</t>
  </si>
  <si>
    <t>wykorzystywać wiedzę dotyczącą własności intelektualnej w działalności gospodarczej</t>
  </si>
  <si>
    <t>K_U57</t>
  </si>
  <si>
    <t>rozpoznawać motywację pacjentów do działań prozdrowotnych, w tym do zmiany wzorów żywienia</t>
  </si>
  <si>
    <t>K_U58</t>
  </si>
  <si>
    <t>rozpoznać problemy żywieniowe i dokonać korekty sposobu żywienia u chorych w okresie okołooperacyjnym</t>
  </si>
  <si>
    <t>K_U59</t>
  </si>
  <si>
    <t>rozpoznać problemy żywieniowe i dokonać korekty sposobu żywienia u osób z chorobami układu pokarmowego i metabolicznymi</t>
  </si>
  <si>
    <t>K_U60</t>
  </si>
  <si>
    <t>ułożyć jadłospisy w wybranych jednostkach chorobowych uwzględniające regionalne zwyczaje żywieniowe</t>
  </si>
  <si>
    <t>K_U61</t>
  </si>
  <si>
    <t>ułożyć jadłospisy zgodne z zasadami wybranych diet alternatywnych zalecanych w terapii wybranych jednostek chorobowych</t>
  </si>
  <si>
    <t>K_U62</t>
  </si>
  <si>
    <t>wykorzystywać wiedzę dotyczącą podstaw biochemii ogólnej i klinicznej</t>
  </si>
  <si>
    <t>K_K01</t>
  </si>
  <si>
    <t>świadomego przekraczania własnych ograniczeń i zwracania się do innych specjalistów</t>
  </si>
  <si>
    <t>K_K02</t>
  </si>
  <si>
    <t>zgodnego z zasadami współżycia społecznego i skutecznego sugerowania pacjentowi uzasadnionej potrzeby konsultacji medycznej</t>
  </si>
  <si>
    <t>K_K03</t>
  </si>
  <si>
    <t>przestrzegania zasad etyki zawodowej</t>
  </si>
  <si>
    <t>K_K04</t>
  </si>
  <si>
    <t>stawiania dobra pacjenta oraz grup społecznych na pierwszym miejscu i okazywania szacunku wobec pacjenta (klienta) i grup społecznych</t>
  </si>
  <si>
    <t>K_K05</t>
  </si>
  <si>
    <t>przestrzegania praw pacjenta, w tym prawa pacjenta do informacji dotyczącej proponowanego postępowania dietetycznego oraz jego możliwych następstw i ograniczeń</t>
  </si>
  <si>
    <t>K_K06</t>
  </si>
  <si>
    <t>przestrzegania tajemnicy obowiązującej pracowników ochrony zdrowia;</t>
  </si>
  <si>
    <t>K_K07</t>
  </si>
  <si>
    <t>współdziałania i pracy w grupie, przyjmując w niej różne role oraz rozwiązując najczęstsze problemy związane z danym zadaniem</t>
  </si>
  <si>
    <t>K_K08</t>
  </si>
  <si>
    <t>brania odpowiedzialności za działania własne i do właściwej organizacji pracy własnej</t>
  </si>
  <si>
    <t>K_K09</t>
  </si>
  <si>
    <t>stałego dokształcania się</t>
  </si>
  <si>
    <t xml:space="preserve">szczegółowy numer efektu uczenia się </t>
  </si>
  <si>
    <t>Efekty uczenia się 
po ukończeniu studiów absolwent:</t>
  </si>
  <si>
    <r>
      <rPr>
        <b/>
        <sz val="11"/>
        <color theme="1"/>
        <rFont val="Calibri"/>
        <family val="2"/>
        <charset val="238"/>
        <scheme val="minor"/>
      </rPr>
      <t>WIEDZA</t>
    </r>
    <r>
      <rPr>
        <sz val="11"/>
        <color theme="1"/>
        <rFont val="Calibri"/>
        <family val="2"/>
        <charset val="238"/>
        <scheme val="minor"/>
      </rPr>
      <t xml:space="preserve"> (zna i rozumie)</t>
    </r>
  </si>
  <si>
    <r>
      <t>UMIEJĘTNOŚCI</t>
    </r>
    <r>
      <rPr>
        <sz val="11"/>
        <rFont val="Calibri"/>
        <family val="2"/>
        <charset val="238"/>
        <scheme val="minor"/>
      </rPr>
      <t xml:space="preserve"> (potrafi)</t>
    </r>
  </si>
  <si>
    <r>
      <rPr>
        <b/>
        <sz val="11"/>
        <color theme="1"/>
        <rFont val="Calibri"/>
        <family val="2"/>
        <charset val="238"/>
        <scheme val="minor"/>
      </rPr>
      <t>KOMPETENCJE SPOŁECZNE</t>
    </r>
    <r>
      <rPr>
        <sz val="11"/>
        <color theme="1"/>
        <rFont val="Calibri"/>
        <family val="2"/>
        <charset val="238"/>
        <scheme val="minor"/>
      </rPr>
      <t xml:space="preserve"> (jest gotów do)</t>
    </r>
  </si>
  <si>
    <t>Umiejętności</t>
  </si>
  <si>
    <t>Czy przedmiot kształtuje kompetencje komunikacyjne</t>
  </si>
  <si>
    <t>Czy przedmiot humanistyczny lub społeczny</t>
  </si>
  <si>
    <t>tak</t>
  </si>
  <si>
    <t>nie</t>
  </si>
  <si>
    <t>forma zakończenia przedmiotu *****</t>
  </si>
  <si>
    <t>forma zakończenia semestru ******</t>
  </si>
  <si>
    <t>ćwiczenia w warunkach symulowanych (CS)*******</t>
  </si>
  <si>
    <t>******Forma zakończenia semestru</t>
  </si>
  <si>
    <t>*****Forma zakończenia przedmiotu</t>
  </si>
  <si>
    <t>*******Ćwiczenia w warunkach symulowanych (CS) są realizowane odpowiednio:</t>
  </si>
  <si>
    <t>wskaźnik wg regulacji</t>
  </si>
  <si>
    <t>suma godz./ECTS dyd. wg regulacji</t>
  </si>
  <si>
    <t>Minimalna liczba godzin z bezpośrednim udziałem nauczycieli akademickich lub innych osób prowadzących zajęcia</t>
  </si>
  <si>
    <t>Liczba godzin zajęć z języka obcego</t>
  </si>
  <si>
    <t>Wskaźnik</t>
  </si>
  <si>
    <t>Minimalna liczba ECTS z bezpośrednim udziałem nauczycieli akademickich lub innych osób prowadzących zajęcia</t>
  </si>
  <si>
    <t>Liczba ECTS za zajęcia z języka obcego</t>
  </si>
  <si>
    <t>Kompetencje akademickie</t>
  </si>
  <si>
    <t>Wprowadzenie do neuroanatomii</t>
  </si>
  <si>
    <t>Neurobiologia i mechanizmy zachowania</t>
  </si>
  <si>
    <t>Wprowadzenie do psychologii społecznej</t>
  </si>
  <si>
    <t>Pierwsza pomoc medyczna</t>
  </si>
  <si>
    <t>Wychowanie fizyczne</t>
  </si>
  <si>
    <t>Szkolenie BHP i P.Poż.</t>
  </si>
  <si>
    <t>Psychologia</t>
  </si>
  <si>
    <t>2025/2026-2029/2030</t>
  </si>
  <si>
    <t>studia jednolite magisterskie</t>
  </si>
  <si>
    <t>Wydział Nauk o Zdrowiu</t>
  </si>
  <si>
    <t>Psychologia społeczna</t>
  </si>
  <si>
    <t>Trening umiejętności interpersonalnych</t>
  </si>
  <si>
    <t xml:space="preserve">Podstawy technologii informacyjnej </t>
  </si>
  <si>
    <t xml:space="preserve">Psychologia procesów poznawczych </t>
  </si>
  <si>
    <t>Metodologia badań psychologicznych I</t>
  </si>
  <si>
    <t xml:space="preserve">Podstawy pomocy psychologicznej </t>
  </si>
  <si>
    <t>Socjologia</t>
  </si>
  <si>
    <t>Praktyki zawodowe</t>
  </si>
  <si>
    <t>6 miesięcy</t>
  </si>
  <si>
    <t>formuła uwzględnia następujące formy zajęć: PP+PZ+CS+CL+CK+CN</t>
  </si>
  <si>
    <t>Ochrona własności intelektualnej</t>
  </si>
  <si>
    <t xml:space="preserve">Podstawy neurologii </t>
  </si>
  <si>
    <t>Wprowadzenie do psychologii klinicznej</t>
  </si>
  <si>
    <t>Psychologia osobowości</t>
  </si>
  <si>
    <t>Etyka zawodu psychologa</t>
  </si>
  <si>
    <t>sumy dla 3 roku</t>
  </si>
  <si>
    <t>2027/2028</t>
  </si>
  <si>
    <t>Metodologia badań psychologicznych II</t>
  </si>
  <si>
    <t>Psychologia rozwoju człowieka</t>
  </si>
  <si>
    <t>Neuropsychologia</t>
  </si>
  <si>
    <t>Psychopatologia</t>
  </si>
  <si>
    <t>Psychometria</t>
  </si>
  <si>
    <t>Psychologia kliniczna dorosłych</t>
  </si>
  <si>
    <t>Psychiatria</t>
  </si>
  <si>
    <t>Psychofarmakologia</t>
  </si>
  <si>
    <t>sumy dla 4 roku</t>
  </si>
  <si>
    <t>2028/2029</t>
  </si>
  <si>
    <t>2029/2030</t>
  </si>
  <si>
    <t>sumy dla 5 roku</t>
  </si>
  <si>
    <t>Minimalna liczba punktów ECTS za zajęcia z dziedziny nauk humanistycznych lub nauk społecznych ( w przypadku kierunków studiów przyporządkowanych do dyscyplin w ramach dziedzin innych niż odpowiednio nuki humanistyczne lub nauki społeczne)</t>
  </si>
  <si>
    <t>Psychologiczna diagnoza kliniczna dzieci i młodzieży</t>
  </si>
  <si>
    <t>Podstawy neuroobrazowania</t>
  </si>
  <si>
    <t>Diagnoza neuropsychologiczna</t>
  </si>
  <si>
    <t>Psychologia zaburzeń somatycznych</t>
  </si>
  <si>
    <t>Poradnictwo psychologiczne</t>
  </si>
  <si>
    <t>Seminarium magisterskie</t>
  </si>
  <si>
    <t>Psychologiczna diagnoza kliniczna dorosłych</t>
  </si>
  <si>
    <t>Rehabilitacja psychologiczna</t>
  </si>
  <si>
    <t>Promocja zdrowia</t>
  </si>
  <si>
    <t>Psychologia stosowana I (Elementy psychologii edukacji)</t>
  </si>
  <si>
    <t>Psychologia uzależnień</t>
  </si>
  <si>
    <t>Interwencja kryzysowa</t>
  </si>
  <si>
    <t>Psychoanaliza i terapia psychodynamiczna</t>
  </si>
  <si>
    <t>Psychoterapia poznawczo-behawioralna</t>
  </si>
  <si>
    <t>Psychoonkologia</t>
  </si>
  <si>
    <t>Seksuologia</t>
  </si>
  <si>
    <t>Psychodietetyka</t>
  </si>
  <si>
    <t>Psychoterapia systemowa</t>
  </si>
  <si>
    <t>Psychologia stosowana II (Elementy psychologii pracy i organizacji)</t>
  </si>
  <si>
    <t>4tygx30hX60min</t>
  </si>
  <si>
    <t>tj. 720 godzin zegarowych, co odpowiada 30 godzinom zegarowym przypadającym na jeden tydzień realizacji praktyk zawodowych</t>
  </si>
  <si>
    <t>formuła uwzględnia przednioty zawierajace w nazwie: "*Język obcy*","*Język angielski*","*lektorat*"</t>
  </si>
  <si>
    <t>Psychologia!</t>
  </si>
  <si>
    <t>Statystyka (I i II)</t>
  </si>
  <si>
    <t>praktyczny/ogólnoakademicki</t>
  </si>
  <si>
    <t>PK</t>
  </si>
  <si>
    <t>PZ</t>
  </si>
  <si>
    <t>Liczba godzin zajęć w cyklu kształcenia (całość bez podziału na specjalności)</t>
  </si>
  <si>
    <t>Minimalna liczba punktów ECTS w cyklu kształcenia (całość bez podziału na specjalności)</t>
  </si>
  <si>
    <t>Minimalna liczba punktów ECTS w cyklu kształcenia- Psych. kliniczna</t>
  </si>
  <si>
    <t>Minimalna liczba ECTS za zajęcia do wyboru-Psych. Kliniczna</t>
  </si>
  <si>
    <t>Minimalna liczba punktów ECTS w cyklu kształcenia- Psych. Zdrowia</t>
  </si>
  <si>
    <t>Minimalna liczba ECTS za zajęcia do wyboru-Psych. Zdrowia</t>
  </si>
  <si>
    <t>1a</t>
  </si>
  <si>
    <t>1b</t>
  </si>
  <si>
    <t>2a</t>
  </si>
  <si>
    <t>5a</t>
  </si>
  <si>
    <t>2b</t>
  </si>
  <si>
    <t>5b</t>
  </si>
  <si>
    <t>Minimalna liczba ECTS za zajęcia do wyboru (całość bez podziału na specjalności)</t>
  </si>
  <si>
    <t>PK- psychologia kliniczna</t>
  </si>
  <si>
    <t>PZ- psychologia zdrowia</t>
  </si>
  <si>
    <t>** ścieżki:</t>
  </si>
  <si>
    <t>Liczba godzin zajęć w ramach ścieżki - Psych. Kliniczna</t>
  </si>
  <si>
    <t>Liczba godzin zajęć w ramach ścieżki - Psych. Zdrowia</t>
  </si>
  <si>
    <t>Liczba ECTS zajęć w ramach ścieżki - Psych. Kliniczna</t>
  </si>
  <si>
    <t>Liczba ECTS zajęć w ramach ścieżki - Psych. Zdrowia</t>
  </si>
  <si>
    <t>Liczba godzin zajęć w cyklu kształcenia (skumulowana- bez podziału na specjalności)</t>
  </si>
  <si>
    <t>Minimalna liczba ECTS za zajęcia do wyboru z caoości zajęć</t>
  </si>
  <si>
    <t>Filozofia z logiką</t>
  </si>
  <si>
    <t>Psychologia kliniczna dzieci i młodzieży</t>
  </si>
  <si>
    <t>Projekt badawczy grupowy- psychologia zdrowia/ psychologia kliniczna</t>
  </si>
  <si>
    <t>Psychologia sportu</t>
  </si>
  <si>
    <t>Psychologia kryzysu i stresu</t>
  </si>
  <si>
    <t>Projektowanie i prowadzenie szkoleń</t>
  </si>
  <si>
    <t>Przedmiot fakultatywny 7</t>
  </si>
  <si>
    <t>Przedmiot fakultatywny 8</t>
  </si>
  <si>
    <t>Psychologia rodziny</t>
  </si>
  <si>
    <t>Psychoseksuologia</t>
  </si>
  <si>
    <t>Zdrowie publiczne</t>
  </si>
  <si>
    <t>Psychogeriatria</t>
  </si>
  <si>
    <t>4a</t>
  </si>
  <si>
    <r>
      <t xml:space="preserve">Maksymalna liczba punktów ECTS przypisana do zajęć prowadzonych z wykorzystaniem metod i technik kształcenia na odległość </t>
    </r>
    <r>
      <rPr>
        <b/>
        <sz val="11"/>
        <color rgb="FFC00000"/>
        <rFont val="Calibri"/>
        <family val="2"/>
        <charset val="238"/>
        <scheme val="minor"/>
      </rPr>
      <t xml:space="preserve">-profil praktyczny- </t>
    </r>
    <r>
      <rPr>
        <b/>
        <sz val="11"/>
        <color rgb="FF0070C0"/>
        <rFont val="Calibri"/>
        <family val="2"/>
        <charset val="238"/>
        <scheme val="minor"/>
      </rPr>
      <t>psych. kliniczna</t>
    </r>
  </si>
  <si>
    <r>
      <t>Maksymalna liczba punktów ECTS przypisana do zajęć prowadzonych z wykorzystaniem metod i technik kształcenia na odległość -</t>
    </r>
    <r>
      <rPr>
        <b/>
        <sz val="11"/>
        <color rgb="FFC00000"/>
        <rFont val="Calibri"/>
        <family val="2"/>
        <charset val="238"/>
        <scheme val="minor"/>
      </rPr>
      <t>profil praktyczny</t>
    </r>
    <r>
      <rPr>
        <b/>
        <sz val="11"/>
        <color rgb="FF00B050"/>
        <rFont val="Calibri"/>
        <family val="2"/>
        <charset val="238"/>
        <scheme val="minor"/>
      </rPr>
      <t>- psych. zdrowia</t>
    </r>
  </si>
  <si>
    <t>4b</t>
  </si>
  <si>
    <r>
      <t>Maksymalna liczba punktów ECTS przypisana do zajęć prowadzonych z wykorzystaniem metod i technik kształcenia na odległość -</t>
    </r>
    <r>
      <rPr>
        <b/>
        <strike/>
        <sz val="11"/>
        <color rgb="FFC00000"/>
        <rFont val="Calibri"/>
        <family val="2"/>
        <charset val="238"/>
        <scheme val="minor"/>
      </rPr>
      <t>profil praktyczny</t>
    </r>
  </si>
  <si>
    <r>
      <t>Maksymalna liczba punktów ECTS przypisana do zajęć prowadzonych z wykorzystaniem metod i technik kształcenia na odległość -</t>
    </r>
    <r>
      <rPr>
        <b/>
        <strike/>
        <sz val="11"/>
        <color rgb="FFC00000"/>
        <rFont val="Calibri"/>
        <family val="2"/>
        <charset val="238"/>
        <scheme val="minor"/>
      </rPr>
      <t>profil ogólnoakademicki</t>
    </r>
  </si>
  <si>
    <r>
      <t>Liczba godzin praktyk-</t>
    </r>
    <r>
      <rPr>
        <b/>
        <sz val="11"/>
        <color rgb="FFC00000"/>
        <rFont val="Calibri"/>
        <family val="2"/>
        <charset val="238"/>
        <scheme val="minor"/>
      </rPr>
      <t xml:space="preserve"> profil praktyczny</t>
    </r>
  </si>
  <si>
    <t>11a</t>
  </si>
  <si>
    <t>11b</t>
  </si>
  <si>
    <r>
      <t>Liczba ECTS za praktyki-</t>
    </r>
    <r>
      <rPr>
        <b/>
        <sz val="11"/>
        <color rgb="FFC00000"/>
        <rFont val="Calibri"/>
        <family val="2"/>
        <charset val="238"/>
        <scheme val="minor"/>
      </rPr>
      <t xml:space="preserve"> profil praktyczny</t>
    </r>
  </si>
  <si>
    <r>
      <t xml:space="preserve">Liczba punktów ECTS przyporządkowana do zajęć kształtujących umiejętności praktyczne w wymiarze większym niż 50% liczby punktów ECTS koniecznej do ukończenia studiów </t>
    </r>
    <r>
      <rPr>
        <b/>
        <strike/>
        <sz val="11"/>
        <color rgb="FFC00000"/>
        <rFont val="Calibri"/>
        <family val="2"/>
        <charset val="238"/>
        <scheme val="minor"/>
      </rPr>
      <t>-profil praktyczny</t>
    </r>
  </si>
  <si>
    <r>
      <t>Liczba punktów ECTS przyporządkowana zajęciom związanym z prowadzoną w uczelni działalnością naukową w dyscyplinie lub dyscyplinach, do których przyporządkowany jest kierunek studiów w wymiarze większym niż 50% liczby punktów ECTS koniecznej do ukończenia studiów</t>
    </r>
    <r>
      <rPr>
        <b/>
        <strike/>
        <sz val="11"/>
        <color rgb="FFC00000"/>
        <rFont val="Calibri"/>
        <family val="2"/>
        <charset val="238"/>
      </rPr>
      <t>-profil ogólnoakademicki</t>
    </r>
  </si>
  <si>
    <t>12a</t>
  </si>
  <si>
    <t>13a</t>
  </si>
  <si>
    <t>12b</t>
  </si>
  <si>
    <t>13b</t>
  </si>
  <si>
    <r>
      <rPr>
        <b/>
        <sz val="11"/>
        <color rgb="FF0070C0"/>
        <rFont val="Calibri"/>
        <family val="2"/>
        <charset val="238"/>
        <scheme val="minor"/>
      </rPr>
      <t>Liczba punktów ECTS przyporządkowana do zajęć kształtujących umiejętności praktyczne w wymiarze większym niż 50% liczby punktów ECTS koniecznej do ukończenia studiów</t>
    </r>
    <r>
      <rPr>
        <b/>
        <sz val="11"/>
        <rFont val="Calibri"/>
        <family val="2"/>
        <charset val="238"/>
        <scheme val="minor"/>
      </rPr>
      <t xml:space="preserve"> </t>
    </r>
    <r>
      <rPr>
        <b/>
        <sz val="11"/>
        <color rgb="FFC00000"/>
        <rFont val="Calibri"/>
        <family val="2"/>
        <charset val="238"/>
        <scheme val="minor"/>
      </rPr>
      <t xml:space="preserve">-profil praktyczny- ścieżka </t>
    </r>
    <r>
      <rPr>
        <b/>
        <sz val="11"/>
        <color theme="4"/>
        <rFont val="Calibri"/>
        <family val="2"/>
        <charset val="238"/>
        <scheme val="minor"/>
      </rPr>
      <t>Ps. kliniczna</t>
    </r>
  </si>
  <si>
    <r>
      <rPr>
        <b/>
        <sz val="11"/>
        <color rgb="FF00B050"/>
        <rFont val="Calibri"/>
        <family val="2"/>
        <charset val="238"/>
        <scheme val="minor"/>
      </rPr>
      <t>Liczba punktów ECTS przyporządkowana do zajęć kształtujących umiejętności praktyczne w wymiarze większym niż 50% liczby punktów ECTS koniecznej do ukończenia studiów</t>
    </r>
    <r>
      <rPr>
        <b/>
        <sz val="11"/>
        <rFont val="Calibri"/>
        <family val="2"/>
        <charset val="238"/>
        <scheme val="minor"/>
      </rPr>
      <t xml:space="preserve"> </t>
    </r>
    <r>
      <rPr>
        <b/>
        <sz val="11"/>
        <color rgb="FFC00000"/>
        <rFont val="Calibri"/>
        <family val="2"/>
        <charset val="238"/>
        <scheme val="minor"/>
      </rPr>
      <t xml:space="preserve">-profil praktyczny- ścieżka </t>
    </r>
    <r>
      <rPr>
        <b/>
        <sz val="11"/>
        <color rgb="FF00B050"/>
        <rFont val="Calibri"/>
        <family val="2"/>
        <charset val="238"/>
        <scheme val="minor"/>
      </rPr>
      <t>Ps. zdrowia</t>
    </r>
  </si>
  <si>
    <t>Liczba ECTS na 4 roku studiów - Psych. Kliniczna</t>
  </si>
  <si>
    <t>Liczba ECTS na 5 roku studiów - Psych. Kliniczna</t>
  </si>
  <si>
    <t>14a</t>
  </si>
  <si>
    <t>15a</t>
  </si>
  <si>
    <t>Liczba ECTS na 4 roku studiów - Psych. Zdrowia</t>
  </si>
  <si>
    <t>Liczba ECTS na 5 roku studiów - Psych. Zdrowia</t>
  </si>
  <si>
    <r>
      <t>Liczba punktów ECTS przypisana do zajęć prowadzonych z wykorzystaniem metod i technik kształcenia na odległość -</t>
    </r>
    <r>
      <rPr>
        <strike/>
        <sz val="11"/>
        <color rgb="FFC00000"/>
        <rFont val="Calibri"/>
        <family val="2"/>
        <charset val="238"/>
        <scheme val="minor"/>
      </rPr>
      <t>profil praktyczny</t>
    </r>
  </si>
  <si>
    <r>
      <t>Liczba punktów ECTS przypisana do zajęć prowadzonych z wykorzystaniem metod i technik kształcenia na odległość -</t>
    </r>
    <r>
      <rPr>
        <strike/>
        <sz val="11"/>
        <color rgb="FFC00000"/>
        <rFont val="Calibri"/>
        <family val="2"/>
        <charset val="238"/>
        <scheme val="minor"/>
      </rPr>
      <t>profil ogólnoakademicki</t>
    </r>
  </si>
  <si>
    <r>
      <t>Liczba ECTS za praktyki-</t>
    </r>
    <r>
      <rPr>
        <sz val="11"/>
        <color rgb="FFC00000"/>
        <rFont val="Calibri"/>
        <family val="2"/>
        <charset val="238"/>
        <scheme val="minor"/>
      </rPr>
      <t xml:space="preserve"> profil praktyczny</t>
    </r>
  </si>
  <si>
    <r>
      <t xml:space="preserve">Liczba godzin praktyk- </t>
    </r>
    <r>
      <rPr>
        <sz val="11"/>
        <color rgb="FFC00000"/>
        <rFont val="Calibri"/>
        <family val="2"/>
        <charset val="238"/>
        <scheme val="minor"/>
      </rPr>
      <t>profil praktyczny</t>
    </r>
  </si>
  <si>
    <t>14b</t>
  </si>
  <si>
    <t>15b</t>
  </si>
  <si>
    <r>
      <t xml:space="preserve">Maksymalna liczba punktów ECTS przypisana do zajęć prowadzonych z wykorzystaniem metod i technik kształcenia na odległość </t>
    </r>
    <r>
      <rPr>
        <sz val="11"/>
        <color rgb="FFC00000"/>
        <rFont val="Calibri"/>
        <family val="2"/>
        <charset val="238"/>
        <scheme val="minor"/>
      </rPr>
      <t xml:space="preserve">-profil praktyczny- </t>
    </r>
    <r>
      <rPr>
        <sz val="11"/>
        <color rgb="FF0070C0"/>
        <rFont val="Calibri"/>
        <family val="2"/>
        <charset val="238"/>
        <scheme val="minor"/>
      </rPr>
      <t>psych. kliniczna</t>
    </r>
  </si>
  <si>
    <r>
      <rPr>
        <sz val="11"/>
        <color rgb="FF0070C0"/>
        <rFont val="Calibri"/>
        <family val="2"/>
        <charset val="238"/>
        <scheme val="minor"/>
      </rPr>
      <t>Liczba punktów ECTS przyporządkowana do zajęć kształtujących umiejętności praktyczne w wymiarze większym niż 50% liczby punktów ECTS koniecznej do ukończenia studiów</t>
    </r>
    <r>
      <rPr>
        <sz val="11"/>
        <rFont val="Calibri"/>
        <family val="2"/>
        <charset val="238"/>
        <scheme val="minor"/>
      </rPr>
      <t xml:space="preserve"> </t>
    </r>
    <r>
      <rPr>
        <sz val="11"/>
        <color rgb="FFC00000"/>
        <rFont val="Calibri"/>
        <family val="2"/>
        <charset val="238"/>
        <scheme val="minor"/>
      </rPr>
      <t xml:space="preserve">-profil praktyczny- ścieżka </t>
    </r>
    <r>
      <rPr>
        <sz val="11"/>
        <color theme="4"/>
        <rFont val="Calibri"/>
        <family val="2"/>
        <charset val="238"/>
        <scheme val="minor"/>
      </rPr>
      <t>Ps. kliniczna</t>
    </r>
  </si>
  <si>
    <r>
      <t>Maksymalna liczba punktów ECTS przypisana do zajęć prowadzonych z wykorzystaniem metod i technik kształcenia na odległość -</t>
    </r>
    <r>
      <rPr>
        <sz val="11"/>
        <color rgb="FFC00000"/>
        <rFont val="Calibri"/>
        <family val="2"/>
        <charset val="238"/>
        <scheme val="minor"/>
      </rPr>
      <t>profil praktyczny</t>
    </r>
    <r>
      <rPr>
        <sz val="11"/>
        <color rgb="FF00B050"/>
        <rFont val="Calibri"/>
        <family val="2"/>
        <charset val="238"/>
        <scheme val="minor"/>
      </rPr>
      <t>- psych. zdrowia</t>
    </r>
  </si>
  <si>
    <r>
      <rPr>
        <sz val="11"/>
        <color rgb="FF00B050"/>
        <rFont val="Calibri"/>
        <family val="2"/>
        <charset val="238"/>
        <scheme val="minor"/>
      </rPr>
      <t>Liczba punktów ECTS przyporządkowana do zajęć kształtujących umiejętności praktyczne w wymiarze większym niż 50% liczby punktów ECTS koniecznej do ukończenia studiów</t>
    </r>
    <r>
      <rPr>
        <sz val="11"/>
        <rFont val="Calibri"/>
        <family val="2"/>
        <charset val="238"/>
        <scheme val="minor"/>
      </rPr>
      <t xml:space="preserve"> </t>
    </r>
    <r>
      <rPr>
        <sz val="11"/>
        <color rgb="FFC00000"/>
        <rFont val="Calibri"/>
        <family val="2"/>
        <charset val="238"/>
        <scheme val="minor"/>
      </rPr>
      <t xml:space="preserve">-profil praktyczny- ścieżka </t>
    </r>
    <r>
      <rPr>
        <sz val="11"/>
        <color rgb="FF00B050"/>
        <rFont val="Calibri"/>
        <family val="2"/>
        <charset val="238"/>
        <scheme val="minor"/>
      </rPr>
      <t>Ps. zdrowia</t>
    </r>
  </si>
  <si>
    <t>Minimalna liczba punktów ECTS za zajęcia z dziedziny nauk humanistycznych lub nauk społecznych (w przypadku kierunków studiów przyporządkowanych do dyscyplin w ramach dziedzin innych niż odpowiednio nuki humanistyczne lub nauki społeczne)</t>
  </si>
  <si>
    <t>Wychowanie fizyczne- tyko na studiach stacjonarnych jsm oraz 1 st</t>
  </si>
  <si>
    <t>0a</t>
  </si>
  <si>
    <t>Liczba godzin całkowitego nakładu pracy w cyklu kształcenia- Psych. kliniczna</t>
  </si>
  <si>
    <t>0b</t>
  </si>
  <si>
    <t>Liczba godzin całkowitego nakładu pracy w cyklu kształcenia- Psych. Zdrowia</t>
  </si>
  <si>
    <t>4 rok-lato</t>
  </si>
  <si>
    <t>4 rok-zima</t>
  </si>
  <si>
    <t>5 rok-zima</t>
  </si>
  <si>
    <t>5 rok-lato</t>
  </si>
  <si>
    <t>semestr</t>
  </si>
  <si>
    <t>liczba godzin na ścieżkach w podziale na semestry</t>
  </si>
  <si>
    <t>Psychologia środowiska</t>
  </si>
  <si>
    <t>Psychologia emocji i motywacji I</t>
  </si>
  <si>
    <t>Psychologia emocji i motywacji II</t>
  </si>
  <si>
    <t>Wartość prawidłowa</t>
  </si>
  <si>
    <t>Psychologia różnic indywidualnych I</t>
  </si>
  <si>
    <t>Psychologia różnic indywidualnych II</t>
  </si>
  <si>
    <t>Psychologia zarządzania</t>
  </si>
  <si>
    <t>Psychoterapia humanistyczno-egzystencjalna</t>
  </si>
  <si>
    <t>zajęcia dyd.</t>
  </si>
  <si>
    <t>zajęcia dyd.+ praktyki+praca własna</t>
  </si>
  <si>
    <t>Przedmiot fakultatywny 9</t>
  </si>
  <si>
    <t>Przedmiot fakultatywny 10</t>
  </si>
  <si>
    <t>300ECTS</t>
  </si>
  <si>
    <t>praktyki</t>
  </si>
  <si>
    <t>36ECTS</t>
  </si>
  <si>
    <t>formuła uwzględnia przedmioty oznaczone "tak w kolumnie "K", w tej chwili to "Filozofia" i "Socjologia"</t>
  </si>
  <si>
    <r>
      <t xml:space="preserve">Liczba godzin dydaktycznych w cyklu kształcenia- Psych. Kliniczna- </t>
    </r>
    <r>
      <rPr>
        <b/>
        <sz val="11"/>
        <color rgb="FFC00000"/>
        <rFont val="Calibri"/>
        <family val="2"/>
        <charset val="238"/>
        <scheme val="minor"/>
      </rPr>
      <t>bez praktyk</t>
    </r>
  </si>
  <si>
    <t>0.0a</t>
  </si>
  <si>
    <t>3a_v1</t>
  </si>
  <si>
    <t>3a_v2</t>
  </si>
  <si>
    <t>16a</t>
  </si>
  <si>
    <t>17a</t>
  </si>
  <si>
    <t>Liczba godzin zajęć na 4 roku studiów - Psych. Kliniczna</t>
  </si>
  <si>
    <t>Liczba godzin zajęć na 5 roku studiów - Psych. Kliniczna</t>
  </si>
  <si>
    <t>0.0b</t>
  </si>
  <si>
    <r>
      <t xml:space="preserve">Liczba godzin dydaktycznych w cyklu kształcenia- Psych. zdrowia- </t>
    </r>
    <r>
      <rPr>
        <b/>
        <sz val="11"/>
        <color rgb="FFC00000"/>
        <rFont val="Calibri"/>
        <family val="2"/>
        <charset val="238"/>
        <scheme val="minor"/>
      </rPr>
      <t>bez praktyk</t>
    </r>
  </si>
  <si>
    <t>3b_v1</t>
  </si>
  <si>
    <t>3b_v2</t>
  </si>
  <si>
    <r>
      <t xml:space="preserve">Minimalna liczba ECTS z bezpośrednim udziałem nauczycieli akademickich lub innych osób prowadzących zajęcia- Psych.zdrowia- </t>
    </r>
    <r>
      <rPr>
        <b/>
        <sz val="11"/>
        <color rgb="FFC00000"/>
        <rFont val="Calibri"/>
        <family val="2"/>
        <charset val="238"/>
        <scheme val="minor"/>
      </rPr>
      <t>procentowy udział zajęć dyd. W puli ECTS bez praktyk</t>
    </r>
  </si>
  <si>
    <t>16b</t>
  </si>
  <si>
    <t>17b</t>
  </si>
  <si>
    <t>Liczba godzin zajęć na 5 roku studiów - Psych. Zdrowia</t>
  </si>
  <si>
    <t>Liczba godzin zajęć na 4 roku studiów - Psych. Zdrowia</t>
  </si>
  <si>
    <t>Liczba godzin zajęć w cyklu kształcenia- Psych. Zdrowia (zajęcia dyd.+praktyki)</t>
  </si>
  <si>
    <t>Liczba godzin dydaktycznych w cyklu kształcenia- Psych. Kliniczna (zajęcia dyd.+praktyki)</t>
  </si>
  <si>
    <t>formuła uwzględnia następujące formy zajęć: PP+PZ+CS+CL+CK+CN+CA</t>
  </si>
  <si>
    <r>
      <t xml:space="preserve">Liczba godzin dydaktycznych w cyklu kształcenia- Psych. Kliniczna- </t>
    </r>
    <r>
      <rPr>
        <sz val="11"/>
        <color rgb="FFC00000"/>
        <rFont val="Calibri"/>
        <family val="2"/>
        <charset val="238"/>
        <scheme val="minor"/>
      </rPr>
      <t>bez praktyk</t>
    </r>
  </si>
  <si>
    <r>
      <t xml:space="preserve">Minimalna liczba ECTS z bezpośrednim udziałem nauczycieli akademickich lub innych osób prowadzących zajęcia- Psych. Kliniczna- </t>
    </r>
    <r>
      <rPr>
        <sz val="11"/>
        <color rgb="FFC00000"/>
        <rFont val="Calibri"/>
        <family val="2"/>
        <charset val="238"/>
        <scheme val="minor"/>
      </rPr>
      <t>wg kolumny "T"</t>
    </r>
  </si>
  <si>
    <r>
      <t xml:space="preserve">Minimalna liczba ECTS z bezpośrednim udziałem nauczycieli akademickich lub innych osób prowadzących zajęcia- Psych. Kliniczna- </t>
    </r>
    <r>
      <rPr>
        <sz val="11"/>
        <color rgb="FFC00000"/>
        <rFont val="Calibri"/>
        <family val="2"/>
        <charset val="238"/>
        <scheme val="minor"/>
      </rPr>
      <t>procentowy udział zajęć dyd. W puli ECTS- bez praktyk</t>
    </r>
  </si>
  <si>
    <r>
      <t>Minimalna liczba ECTS z bezpośrednim udziałem nauczycieli akademickich lub innych osób prowadzących zajęcia- Psych. Kliniczna-</t>
    </r>
    <r>
      <rPr>
        <b/>
        <sz val="11"/>
        <color rgb="FFC00000"/>
        <rFont val="Calibri"/>
        <family val="2"/>
        <charset val="238"/>
        <scheme val="minor"/>
      </rPr>
      <t xml:space="preserve"> procentowy udział zajęć dyd. W puli ECTS- bez praktyk</t>
    </r>
  </si>
  <si>
    <r>
      <t>Liczba godzin dydaktycznych w cyklu kształcenia- Psych. zdrowia</t>
    </r>
    <r>
      <rPr>
        <sz val="11"/>
        <color rgb="FFC00000"/>
        <rFont val="Calibri"/>
        <family val="2"/>
        <charset val="238"/>
        <scheme val="minor"/>
      </rPr>
      <t>- bez praktyk</t>
    </r>
  </si>
  <si>
    <r>
      <t>Minimalna liczba ECTS z bezpośrednim udziałem nauczycieli akademickich lub innych osób prowadzących zajęcia- Psych.zdrowia-</t>
    </r>
    <r>
      <rPr>
        <sz val="11"/>
        <color rgb="FFC00000"/>
        <rFont val="Calibri"/>
        <family val="2"/>
        <charset val="238"/>
        <scheme val="minor"/>
      </rPr>
      <t xml:space="preserve"> wg kolumny "T"</t>
    </r>
  </si>
  <si>
    <r>
      <t>Minimalna liczba ECTS z bezpośrednim udziałem nauczycieli akademickich lub innych osób prowadzących zajęcia- Psych.zdrowia-</t>
    </r>
    <r>
      <rPr>
        <sz val="11"/>
        <color rgb="FFC00000"/>
        <rFont val="Calibri"/>
        <family val="2"/>
        <charset val="238"/>
        <scheme val="minor"/>
      </rPr>
      <t xml:space="preserve"> procentowy udział zajęć dyd. W puli ECTS bez praktyk</t>
    </r>
  </si>
  <si>
    <t>Psychologia zdrowia</t>
  </si>
  <si>
    <t>Psychologia ogólna</t>
  </si>
  <si>
    <t>Podstawy psychoterapii</t>
  </si>
  <si>
    <t>Podstawy psychologii sądowej</t>
  </si>
  <si>
    <t xml:space="preserve">Psychofarmakologia </t>
  </si>
  <si>
    <t xml:space="preserve">RAZEM dla ścieżki Psychologia kliniczna </t>
  </si>
  <si>
    <t>RAZEM dla ścieżki Psychologia zdrowia</t>
  </si>
  <si>
    <t>przedmiot</t>
  </si>
  <si>
    <t>wykład</t>
  </si>
  <si>
    <t>seminarium</t>
  </si>
  <si>
    <t>pozostałe formy</t>
  </si>
  <si>
    <t>praktyka zawodowa</t>
  </si>
  <si>
    <t>SUMA</t>
  </si>
  <si>
    <t>GODZIN</t>
  </si>
  <si>
    <t>PUNKTY</t>
  </si>
  <si>
    <t>lp bądź kod grupy**</t>
  </si>
  <si>
    <t>Psychologia kliniczna</t>
  </si>
  <si>
    <t>forma</t>
  </si>
  <si>
    <t>weryfikacji</t>
  </si>
  <si>
    <t>***</t>
  </si>
  <si>
    <t>4 rok</t>
  </si>
  <si>
    <t>5 rok</t>
  </si>
  <si>
    <t>Biologiczne uwarunkowania procesów psychicznych</t>
  </si>
  <si>
    <t>Podejście evidence based w psychologii</t>
  </si>
  <si>
    <t>Psychogenetyka</t>
  </si>
  <si>
    <t>Język obcy</t>
  </si>
  <si>
    <t>Podstawy neurofizjologii dla psychologów</t>
  </si>
  <si>
    <t xml:space="preserve">Przedmiot fakultatywny 1: Komunikacja między ludzka / Sport umysł i granice ludzkich możliwości </t>
  </si>
  <si>
    <t>Wprowadzenie do psychologii i historii myśli psychologicznej</t>
  </si>
  <si>
    <t>Przedmiot fakultatywny 2: Społeczne przyczyny kryzysów psychicznych/ Rola organizacji pozarządowych w systemie ochrony zdrowia</t>
  </si>
  <si>
    <t>Przedmiot fakultatywny 3: Podstawy organizacji i zarządzania / Psychologia języka</t>
  </si>
  <si>
    <t>Przedmiot fakultatywny 4: Podstawy uczenia maszynowego i sieci neuronowych/ Psychologia człowieka w świecie AI</t>
  </si>
  <si>
    <t>Przedmiot fakultatywny 5: Zaburzenia neurorozwojowe / Psychologia kryminalna</t>
  </si>
  <si>
    <t>Przedmiot fakultatywny 6: Prowadzenie działalności/ Kampanie społeczne</t>
  </si>
  <si>
    <t>Przedmiot fakultatywny 8: Podstawy terapii DBT/ Podstawy marketingu</t>
  </si>
  <si>
    <t>2025/2026-20029/2030</t>
  </si>
  <si>
    <t>jednolite studia magisterskie</t>
  </si>
  <si>
    <t>psychologia</t>
  </si>
  <si>
    <t>nauki o zdrowiu</t>
  </si>
  <si>
    <t>nauki medyczne</t>
  </si>
  <si>
    <t>humanistyczne</t>
  </si>
  <si>
    <t>Procent</t>
  </si>
  <si>
    <t xml:space="preserve">Dyscyplina </t>
  </si>
  <si>
    <t>Seminarium magisterskie I</t>
  </si>
  <si>
    <t>Lektorat z języka angielskiego I</t>
  </si>
  <si>
    <t>Lektorat z języka angielskiego II</t>
  </si>
  <si>
    <t>Seminarium magisterskie II</t>
  </si>
  <si>
    <t>PRK</t>
  </si>
  <si>
    <t>P7S_WG</t>
  </si>
  <si>
    <t>P7S_WK</t>
  </si>
  <si>
    <t>P7S_UW</t>
  </si>
  <si>
    <t>P7S_KK</t>
  </si>
  <si>
    <t>P7S_KO</t>
  </si>
  <si>
    <t>P7S_KR</t>
  </si>
  <si>
    <t>Psychologiczna diagnoza dzieci i młodzieży z elementami psychoterapii</t>
  </si>
  <si>
    <t xml:space="preserve">Praktyki zawodowe w zakresie pomocy psychologicznej </t>
  </si>
  <si>
    <t>Praktyki zawodowe w zakresie edukacji i promocji zdrowia</t>
  </si>
  <si>
    <t>Praktyki zawodowe w zakresie psychologicznej diagnozy i terapii chorób somatycznych</t>
  </si>
  <si>
    <t>Praktyki zawodowe w zakresie klinicznej diagnozy psychologicznej dorosłych</t>
  </si>
  <si>
    <t>Praktyki zawodowe w zakresie klinicznej diagnozy psychologicznej dzieci i młodzieży</t>
  </si>
  <si>
    <t>Praktyki zawodowe w zakresie neuropsychologii</t>
  </si>
  <si>
    <t>Przedmiot fakultatywny 10: Zachowania suicydalne – diagnoza i terapia/PK: ADHD- diagnoza i terapia; 
PZ: Fizjoprofilaktyka</t>
  </si>
  <si>
    <t>Przedmiot fakultatywny 7: Podstawy neurobiologii eksperymentalnej/Psychoseksuologia (PK) /Terapia perfekcjonizmu w podejściu poznawczo – behawioralnym (PZ)</t>
  </si>
  <si>
    <t>Przedmiot fakultatywny 9: Podstawy psychoterapii zaburzeń odżywiania/ Psychologia zwycięstwa</t>
  </si>
  <si>
    <t>P7S_UK</t>
  </si>
  <si>
    <t>semestr zimowy</t>
  </si>
  <si>
    <t>semestr letni</t>
  </si>
  <si>
    <t>Forma weryfikacji ***</t>
  </si>
  <si>
    <t>ćwiczenia symulowane (CS)</t>
  </si>
  <si>
    <t>godziny dydaktyczne w semestrze</t>
  </si>
  <si>
    <t>PUNKTY ECTS</t>
  </si>
  <si>
    <t>Przedmiot fakultatywny 5: Zaburzenia nieurorozwojowe / Psychologia kryminalna</t>
  </si>
  <si>
    <t>Psychologia emocji i motywacji (I i II)</t>
  </si>
  <si>
    <t>Psychologia różnic indywidualnych (I i II)</t>
  </si>
  <si>
    <t>Statystyka II</t>
  </si>
  <si>
    <t>Statystyka I</t>
  </si>
  <si>
    <t>Przedmiot fakultatywny 6: Podstawy uczenia maszynowego i sieci neuronowych/ Psychologia człowieka w świecie AI</t>
  </si>
  <si>
    <t>Przedmiot fakultatywny 4: Prowadzenie działalności/ Kampanie społeczne</t>
  </si>
  <si>
    <t>Elementy psychologii pracy i organizacji</t>
  </si>
  <si>
    <t>Elementy psychologii edukacji</t>
  </si>
  <si>
    <t> 1,5</t>
  </si>
  <si>
    <t>Liczba godzin całkowitego nakładu pracy w cyklu kształcenia- Psych. Kliniczna</t>
  </si>
  <si>
    <t>Przedmiot fakultatywny 4: Podstawy organizacji i zarządzania / Psychologia języka</t>
  </si>
  <si>
    <t>Przedmiot fakultatywny 3: Prowadzenie działalności/ Kampanie społeczne</t>
  </si>
  <si>
    <t>Neurobiologia i mechanizmy zachowania </t>
  </si>
  <si>
    <t>Przedmiot fakultatywny 1: Komunikacja międzyludzka/ Sport umysł i granice ludzkich możliwości</t>
  </si>
  <si>
    <t>razem</t>
  </si>
  <si>
    <t>ogółem bez "0"</t>
  </si>
  <si>
    <t>dydaktyczne ogółem bez "0"</t>
  </si>
  <si>
    <t>dydaktyczne bez ogółem bez "0" i praktyk</t>
  </si>
  <si>
    <r>
      <t xml:space="preserve">L.godz dyd - </t>
    </r>
    <r>
      <rPr>
        <b/>
        <sz val="11"/>
        <color rgb="FFC00000"/>
        <rFont val="Calibri"/>
        <family val="2"/>
        <charset val="238"/>
        <scheme val="minor"/>
      </rPr>
      <t>bez praktyk</t>
    </r>
  </si>
  <si>
    <t>L. godzin dyd (zajęcia dyd.+praktyki)</t>
  </si>
  <si>
    <t>Przedmiot fakultatywny 7: Podstawy neurobiologii eksperymentalnej/Psychoseksuologia</t>
  </si>
  <si>
    <t>Przedmiot fakultatywny 7: Podstawy neurobiologii eksperymentalnej/ Terapia perfekcjonizmu w podejściu poznawczo – behawioralnym</t>
  </si>
  <si>
    <t>Przedmiot fakultatywny 9: Psychologia zwycięstwa/  Podstawy psychoterapii zaburzeń odżywiania</t>
  </si>
  <si>
    <t>Przedmiot fakultatywny 10: Zachowania suicydalne – diagnoza i terapia/ ADHD- diagnoza i terapia</t>
  </si>
  <si>
    <t>Przedmiot fakultatywny 10: Zachowania suicydalne – diagnoza i terapia/ Fizjoprofilaktyka</t>
  </si>
  <si>
    <t xml:space="preserve">Przedmiot fakultatywny 1: Sport umysł i granice ludzkich możliwości </t>
  </si>
  <si>
    <t>Przedmiot fakultatywny 2: Społeczne przyczyny kryzysów psychicznych</t>
  </si>
  <si>
    <t>Przedmiot fakultatywny 4: Podstawy organizacji i zarządzania</t>
  </si>
  <si>
    <t>Przedmiot fakultatywny 4: Psychologia języka</t>
  </si>
  <si>
    <t>Przedmiot fakultatywny 3: Prowadzenie działalności</t>
  </si>
  <si>
    <t>Przedmiot fakultatywny 3: Kampanie społeczne</t>
  </si>
  <si>
    <t>Przedmiot fakultatywny 5: Zaburzenia neurorozwojowe</t>
  </si>
  <si>
    <t>Przedmiot fakultatywny 5: Psychologia kryminalna</t>
  </si>
  <si>
    <t>Przedmiot fakultatywny 6: Podstawy uczenia maszynowego i sieci neuronowych</t>
  </si>
  <si>
    <t>Przedmiot fakultatywny 6: Psychologia człowieka w świecie AI</t>
  </si>
  <si>
    <t>Przedmiot fakultatywny 7: Psychoseksuologia</t>
  </si>
  <si>
    <t>Przedmiot fakultatywny 7: Terapia perfekcjonizmu w podejściu poznawczo – behawioralnym</t>
  </si>
  <si>
    <t xml:space="preserve"> </t>
  </si>
  <si>
    <t>Przedmiot fakultatywny 8: Podstawy terapii DBT</t>
  </si>
  <si>
    <t>Przedmiot fakultatywny 8: Podstawy marketingu</t>
  </si>
  <si>
    <t>Przedmiot fakultatywny 9: Podstawy psychoterapii zaburzeń odżywiania</t>
  </si>
  <si>
    <t>Przedmiot fakultatywny 10: Zachowania suicydalne – diagnoza i terapia</t>
  </si>
  <si>
    <t>Przedmiot fakultatywny 10: Fizjoprofilaktyka</t>
  </si>
  <si>
    <t>Przedmiot fakultatywny 10: ADHD- diagnoza i terapia;</t>
  </si>
  <si>
    <t>Wychowanie fizyczne I</t>
  </si>
  <si>
    <t>Wychowanie fizyczne II</t>
  </si>
  <si>
    <t>Lektorat z języka angielskiego III</t>
  </si>
  <si>
    <t>Lektorat z języka angielskiego IV</t>
  </si>
  <si>
    <t>Seminarium magisterskie III</t>
  </si>
  <si>
    <t>Seminarium magisterskie IV</t>
  </si>
  <si>
    <r>
      <t>Minimalna liczba ECTS z bezpośrednim udziałem nauczycieli akademickich lub innych osób prowadzących zajęcia- Psych. Kliniczna-</t>
    </r>
    <r>
      <rPr>
        <b/>
        <sz val="11"/>
        <color rgb="FFC00000"/>
        <rFont val="Calibri"/>
        <family val="2"/>
        <charset val="238"/>
        <scheme val="minor"/>
      </rPr>
      <t xml:space="preserve"> wg kolumny "T"</t>
    </r>
  </si>
  <si>
    <r>
      <t>Minimalna liczba ECTS z bezpośrednim udziałem nauczycieli akademickich lub innych osób prowadzących zajęcia- Psych.zdrowia-</t>
    </r>
    <r>
      <rPr>
        <b/>
        <sz val="11"/>
        <color rgb="FFC00000"/>
        <rFont val="Calibri"/>
        <family val="2"/>
        <charset val="238"/>
        <scheme val="minor"/>
      </rPr>
      <t xml:space="preserve"> wg kolumny "T"</t>
    </r>
  </si>
  <si>
    <t>Przedmioty bez ECTS</t>
  </si>
  <si>
    <t>Przedmiot fakultatywny 9: Psychologia zwycięstwa/ Podstawy psychoterapii zaburzeń odżywiania</t>
  </si>
  <si>
    <t>Seminarium magisterskie (I i II)</t>
  </si>
  <si>
    <t>Czy zajęcia kształtują umiejętności praktyczne</t>
  </si>
  <si>
    <t>za zajęcia kształtujące umiejętności praktyczne jeżeli L="tak"(PP+PZ+CS+CL+CK+CN+CA)</t>
  </si>
  <si>
    <t>19a</t>
  </si>
  <si>
    <t>Średnia liczba godzin pracy studenta- Ps. kliniczna przypadająca na 1 ECTS</t>
  </si>
  <si>
    <t>19b</t>
  </si>
  <si>
    <t>Średnia liczba godzin pracy studenta- Ps. zdrowia przypadająca na 1 ECTS</t>
  </si>
  <si>
    <t>formuła uwzględnia przedmioty zawierajace w nazwie: "*Język obcy*","*Język angielski*","*lektorat*"</t>
  </si>
  <si>
    <t>Nakład pracy- liczba godzin</t>
  </si>
  <si>
    <t>Nakład pracy- punktów ECTS</t>
  </si>
  <si>
    <t>Wskaźiki- liczba godzin</t>
  </si>
  <si>
    <t>Wskaźiki- punktów ECTS</t>
  </si>
  <si>
    <t>Kształcenie bezpośrednie stacjonarne</t>
  </si>
  <si>
    <t>Kształcenie bezpośrednie z wykorzystaniem metod i technik kształcenia na odległość (synchroniczne)</t>
  </si>
  <si>
    <t>Kształcenie asynchroniczne z wykorzystaniem metod i technik kształcenia na odległość</t>
  </si>
  <si>
    <t>Samokształcenie kierowane (dotyczy tylko kierunków pielęgniarstwo i położnictwo)</t>
  </si>
  <si>
    <t>Indywidualna praca własna studenta</t>
  </si>
  <si>
    <t>Praktyka zawodowa</t>
  </si>
  <si>
    <t>Łączny nakład pracy studenta</t>
  </si>
  <si>
    <t>Łącznie kształcenie bezpośrednie</t>
  </si>
  <si>
    <t>Łącznie kształcenie z użyciem metod i technik kształcenia na odległość</t>
  </si>
  <si>
    <t>wiedza- zakres i głębia</t>
  </si>
  <si>
    <t>wiedza- kontekst - uwarunkowania, skutki</t>
  </si>
  <si>
    <t>umiejętności- wykorzystanie wiedzy - rozwiązywanie problemów i wykonywanie zadań</t>
  </si>
  <si>
    <t>umiejętności- komunikowanie się - odbieranie i tworzenie wypowiedzi, upowszechnianie wiedzy w środowisku naukowym i posługiwanie się językiem obcym</t>
  </si>
  <si>
    <t>P7S_UO</t>
  </si>
  <si>
    <t>umiejętności- organizacja pracy - planowanie i praca zespołowa</t>
  </si>
  <si>
    <t>P7S_UU</t>
  </si>
  <si>
    <t>umiejętności- uczenie się - planowanie własnego rozwoju i rozwoju innych osób</t>
  </si>
  <si>
    <t>Kompetencje społeczne - oceny- krytyczne podejście</t>
  </si>
  <si>
    <t>Kompetencje społeczne - odpowiedzialność - wypełnianie zobowiązań społecznych i działanie na rzecz interesu publicznego</t>
  </si>
  <si>
    <t>Kompetencje społeczne - rola zawodowa - niezależność i rozwój etosu</t>
  </si>
  <si>
    <t>Oznaczenie kategorii efektu</t>
  </si>
  <si>
    <t>Kierunkowy</t>
  </si>
  <si>
    <t>Przedmiotowy</t>
  </si>
  <si>
    <r>
      <t xml:space="preserve">Oznaczenie kategorii efektu
</t>
    </r>
    <r>
      <rPr>
        <i/>
        <sz val="11"/>
        <color theme="1"/>
        <rFont val="Calibri"/>
        <family val="2"/>
        <charset val="238"/>
        <scheme val="minor"/>
      </rPr>
      <t>(Kierunkowy/Przedmiotowy)</t>
    </r>
  </si>
  <si>
    <t>Numer efektu uczenia się</t>
  </si>
  <si>
    <t>P_W01</t>
  </si>
  <si>
    <t>P_W02</t>
  </si>
  <si>
    <t>P_W03</t>
  </si>
  <si>
    <t>P_W04</t>
  </si>
  <si>
    <t>P_W05</t>
  </si>
  <si>
    <t>P_W06</t>
  </si>
  <si>
    <t>P_W07</t>
  </si>
  <si>
    <t>P_W08</t>
  </si>
  <si>
    <t>P_W09</t>
  </si>
  <si>
    <t>P_W10</t>
  </si>
  <si>
    <t>P_W11</t>
  </si>
  <si>
    <t>P_W12</t>
  </si>
  <si>
    <t>P_W13</t>
  </si>
  <si>
    <t>P_W14</t>
  </si>
  <si>
    <t>P_W15</t>
  </si>
  <si>
    <t>P_W16</t>
  </si>
  <si>
    <t>P_W17</t>
  </si>
  <si>
    <t>P_W18</t>
  </si>
  <si>
    <t>P_W19</t>
  </si>
  <si>
    <t>P_W20</t>
  </si>
  <si>
    <t>P_W21</t>
  </si>
  <si>
    <t>P_W22</t>
  </si>
  <si>
    <t>P_W23</t>
  </si>
  <si>
    <t>P_W24</t>
  </si>
  <si>
    <t>P_W25</t>
  </si>
  <si>
    <t>P_U1</t>
  </si>
  <si>
    <t>P_U2</t>
  </si>
  <si>
    <t>P_U3</t>
  </si>
  <si>
    <t>P_U4</t>
  </si>
  <si>
    <t>P_U5</t>
  </si>
  <si>
    <t>P_U6</t>
  </si>
  <si>
    <t>P_U7</t>
  </si>
  <si>
    <t>P_U8</t>
  </si>
  <si>
    <t>P_U9</t>
  </si>
  <si>
    <t>P_U10</t>
  </si>
  <si>
    <t>P_U11</t>
  </si>
  <si>
    <t>P_U12</t>
  </si>
  <si>
    <t>P_U13</t>
  </si>
  <si>
    <t>P_U14</t>
  </si>
  <si>
    <t>P_U15</t>
  </si>
  <si>
    <t>P_U16</t>
  </si>
  <si>
    <t>P_U17</t>
  </si>
  <si>
    <t>P_U18</t>
  </si>
  <si>
    <t>P_U19</t>
  </si>
  <si>
    <t>P_U20</t>
  </si>
  <si>
    <t>P_U21</t>
  </si>
  <si>
    <t>P_U22</t>
  </si>
  <si>
    <t>P_U23</t>
  </si>
  <si>
    <t>P_U24</t>
  </si>
  <si>
    <t>P_U25</t>
  </si>
  <si>
    <t>P_U26</t>
  </si>
  <si>
    <t>P_U27</t>
  </si>
  <si>
    <t>P_U28</t>
  </si>
  <si>
    <t>P_U29</t>
  </si>
  <si>
    <t>P_U30</t>
  </si>
  <si>
    <t>P_U31</t>
  </si>
  <si>
    <t>P_U32</t>
  </si>
  <si>
    <t>P_U33</t>
  </si>
  <si>
    <t>P_U34</t>
  </si>
  <si>
    <t>P_U35</t>
  </si>
  <si>
    <t>P_U36</t>
  </si>
  <si>
    <t>P_U37</t>
  </si>
  <si>
    <t>P_U38</t>
  </si>
  <si>
    <t>P_U39</t>
  </si>
  <si>
    <t>P_U40</t>
  </si>
  <si>
    <t>P_U41</t>
  </si>
  <si>
    <t>P_U42</t>
  </si>
  <si>
    <t>P_U43</t>
  </si>
  <si>
    <t>P_U44</t>
  </si>
  <si>
    <t>P_U45</t>
  </si>
  <si>
    <t>P_K01</t>
  </si>
  <si>
    <t>P_K02</t>
  </si>
  <si>
    <t>P_K03</t>
  </si>
  <si>
    <t>P_K04</t>
  </si>
  <si>
    <t>P_K05</t>
  </si>
  <si>
    <t>P_K06</t>
  </si>
  <si>
    <t>P_K07</t>
  </si>
  <si>
    <t>P_K08</t>
  </si>
  <si>
    <t>P_K09</t>
  </si>
  <si>
    <t>P_K10</t>
  </si>
  <si>
    <t>P_K11</t>
  </si>
  <si>
    <t>P_K12</t>
  </si>
  <si>
    <t>P_K13</t>
  </si>
  <si>
    <t>P_K14</t>
  </si>
  <si>
    <t>P_K15</t>
  </si>
  <si>
    <t>P_K16</t>
  </si>
  <si>
    <t>P_K17</t>
  </si>
  <si>
    <t>P_K18</t>
  </si>
  <si>
    <t>P_K19</t>
  </si>
  <si>
    <t>P_K20</t>
  </si>
  <si>
    <t>Absolwent wyjaśnia w pogłębionym stopniu wybrane fakty, obiekty i zjawiska psychologiczne, dotyczące funkcjonowania psychicznego i społecznego człowieka, w tym procesy emocjonalne, poznawcze, motywacyjne i czynniki osobowościowe, a także interpretuje teorie i metody wyjaśniające złożone zależności między procesami psychicznymi a zachowaniem człowieka w kontekście uzasadniania oddziaływań psychologicznych w praktyce zawodowej.</t>
  </si>
  <si>
    <t xml:space="preserve">Absolwent charakteryzuje i wyjaśnia w pogłębionym stopniu założenia i standardy diagnozy psychologicznej, w tym kluczowe zasady psychometrii (rzetelność, trafność, normalizacja, błędy pomiaru) oraz interpretuje wyniki testów i wywiadu w odniesieniu do kontekstu życia człowieka istotne dla praktyki zawodowej psychologa. </t>
  </si>
  <si>
    <t>Absolwent porównuje w pogłębionym stopniu teorie, modele i metody pomocy psychologicznej – w szczególności podejścia ukierunkowane na rozwój, profilaktykę i interwencję – oraz wyjaśnia podstawowe założenia i mechanizmy zmiany obecne w głównych nurtach psychoterapii, odnosząc je do realnych warunków praktyki zawodowej.</t>
  </si>
  <si>
    <t>Absolwent charakteryzuje w pogłębionym stopniu etapy projektowania badań empirycznych w psychologii oraz kryteria doboru metod badawczych i procedur analizy danych, a także wyjaśnia zasady oceny skuteczności oddziaływań psychologicznych, w tym wskaźniki efektu, trafność wewnętrzna i zewnętrzna.</t>
  </si>
  <si>
    <t>Absolwent wyjaśnia i analizuje w pogłębionym stopniu mechanizmy funkcjonowania psychicznego człowieka z perspektywy biopsychospołecznej, rozwojowej i kulturowej oraz interpretuje znaczenie tych mechanizmów dla zrozumienia złożonych problemów psychologicznych i doboru adekwatnych form pomocy psychologicznej.</t>
  </si>
  <si>
    <t>Absolwent analizuje w pogłębionym stopniu granice kompetencji zawodowych psychologa i wyjaśnia zasady współpracy międzyprofesjonalnej, a także ocenia konsekwencje alternatywnych strategii postępowania w przypadkach złożonych realizowanych w warunkach środowiska zawodowego.</t>
  </si>
  <si>
    <t>Absolwent wyjaśnia w pogłębionym stopniu metodologię badań stosowanych w psychologii oraz w naukach medycznych, w szczególności zasady planowania badań klinicznych i obserwacyjnych, interpretuje znaczenie wybranych danych biologicznych i klinicznych istotnych dla wyjaśniania funkcjonowania psychicznego oraz ocenia ograniczenia dowodów empirycznych w badaniach interdyscyplinarnych z perspektywy ich wykorzystania w praktyce zawodowej psychologa.</t>
  </si>
  <si>
    <t>Absolwent charakteryzuje i wyjaśnia w pogłębionym stopniu biologiczne podstawy zachowania i funkcjonowania psychicznego człowieka, w szczególności kluczowe mechanizmy genetyczne, neurobiologiczne i neurofizjologiczne, w tym mechanizmy plastyczności neuronalnej, regulacji emocji, reakcji stresowej, oraz wyjaśnia podstawy interpretacji typowych danych klinicznych, w tym  informacji neurologicznych, neuropsychologicznych lub neuroobrazowych, istotnych dla rozumienia funkcjonowania psychicznego i uzasadniania oddziaływań psychologicznych z perspektywy zawodu psychologa.</t>
  </si>
  <si>
    <t>Absolwent charakteryzuje w pogłębionym stopniu wybrane obszary zaawansowanej wiedzy szczegółowej, obejmujące psychopatologię, w szczególności klasyfikacje zaburzeń psychicznych, mechanizmy ich powstawania oraz zasady różnicowania klinicznego, albo modele zachowań zdrowotnych i zmiany zachowania, w tym psychospołeczne uwarunkowania zdrowia, choroby przewlekłej i dobrostanu, w zależności od wybranej ścieżki kształcenia.</t>
  </si>
  <si>
    <t>Absolwent charakteryzuje w pogłębionym stopniu wybrane obszary zaawansowanej wiedzy szczegółowej, obejmujące strategie promocji zdrowia i profilaktyki, w szczególności działania ukierunkowane na styl życia, samoregulację i jakość życia w kontekście systemu ochrony zdrowia, albo specyfikę funkcjonowania pacjentów w środowisku klinicznym, w tym uwarunkowania organizacyjne, etyczne i medyczne pracy psychologa oraz ramy i standardy oddziaływań psychologicznych stosowanych w tym środowisku, w zależności od wybranej ścieżki kształcenia.</t>
  </si>
  <si>
    <t>Absolwent wyjaśnia fundamentalne dylematy współczesnej cywilizacji oraz ekonomiczne, prawne i etyczne uwarunkowania wykonywania zawodu psychologa, w tym podstawy prawne zawodu, zasady etyki, ochrony danych osobowych i tajemnicy zawodowej, również w kontekście świadczenia usług psychologicznych z wykorzystaniem narzędzi cyfrowych, w tym tele- i e-usług; ponadto wyjaśnia zasady ochrony własności intelektualnej oraz opisuje podstawowe zasady przedsiębiorczości i organizacji, a także zasad świadczenia usług psychologicznych, niezbędne do odpowiedzialnego wykonywania zawodu psychologa.</t>
  </si>
  <si>
    <t>Absolwent wyjaśnia ekonomiczne, prawne, etyczne i organizacyjne uwarunkowania funkcjonowania systemu ochrony zdrowia, w tym zasady współpracy interdyscyplinarnej, bezpieczeństwa pacjenta i dostępności świadczeń, z uwzględnieniem organizacji i jakości realizowanych świadczeń psychologicznych, w tym wykorzystaniem narzędzi cyfrowych, istotnych dla wykonywania zawodu psychologa w systemie ochrony zdrowia.</t>
  </si>
  <si>
    <t>Absolwent rozpoznaje złożone i nietypowe problemy funkcjonowania psychicznego osoby, integrując dane pochodzące z różnych źródeł (takich jak wywiad, obserwacja, wyniki testów czy dokumentacja) oraz stosując metody oparte na dowodach naukowych, z uwzględnieniem niejednoznaczności tych danych i ograniczeń stosowanych narzędzi diagnostycznych.</t>
  </si>
  <si>
    <t>Absolwent planuje i przeprowadza diagnozę psychologiczną zgodnie ze standardami zawodowymi psychologa, dostosowując istniejące procedury do sytuacji nietypowych i nieprzewidywalnych oraz zachowując przy tym obowiązujące zasady etyczne i prawne.</t>
  </si>
  <si>
    <t>Absolwent dobiera źródła informacji oraz analizuje, syntetyzuje interpretuje informacje oraz wyniki badań, formułuje na ich podstawie wnioski diagnostyczne i rekomendacje, uzasadnia podejmowane decyzje oraz ocenia ich konsekwencje w praktyce zawodowej i w rozwiązywaniu problemów praktycznych.</t>
  </si>
  <si>
    <t>Absolwent rozwiązuje złożone problemy praktyczne poprzez analizę przypadków psychologicznych z uwzględnieniem czynników psychicznych, społecznych, zdrowotnych i prawnych, identyfikuje przy tym czynniki ryzyka oraz zasoby, a także dostosowuje metody i narzędzia pracy do warunków instytucjonalnych, działając w granicach posiadanych kompetencji.</t>
  </si>
  <si>
    <t>Absolwent dobiera, stosuje i modyfikuje metody oraz techniki pomocy psychologicznej, odpowiednio reagując na zmienne i nieprzewidywalne warunki, opierając się na wynikach diagnozy, dowodach naukowych oraz specyfice kontekstu działania, w tym w obszarze poradnictwa, interwencji, profilaktyki lub psychoedukacji i innych obszarach działalności psychologa</t>
  </si>
  <si>
    <t>Absolwent opracowuje plan oddziaływań psychologicznych ukierunkowanych na poprawę jakości życia odbiorcy i konsekwentnie go realizuje, uwzględniając ograniczenia organizacyjne, prawne i zasobowe oraz monitorując przebieg podejmowanych działań.</t>
  </si>
  <si>
    <t>Absolwent adaptuje istniejące metody i narzędzia pomocy psychologicznej do specyficznych potrzeb oraz możliwości odbiorców, a także opracowuje wstępne koncepcje nowych rozwiązań i ocenia ich użyteczność oraz potencjalne ryzyka.</t>
  </si>
  <si>
    <t>Absolwent ocenia skuteczność oddziaływań psychologicznych, formułuje i weryfikuje hipotezy dotyczące prostych problemów wdrożeniowych wynikających z praktyki zawodowej, wykorzystuje dane empiryczne do modyfikacji działań, podejmuje decyzje w warunkach niepewności i dokumentuje wnioski.</t>
  </si>
  <si>
    <t>Absolwent komunikuje się na tematy psychologiczne z różnymi grupami odbiorców oraz prowadzi dyskusje zawodowe w sposób profesjonalny, empatyczny i etyczny, stosując odpowiednie techniki komunikacji, w tym aktywne słuchanie, parafrazowanie, zadawanie pytań pogłębiających, z uwzględnieniem zasad nawiązywania i podtrzymywania relacji profesjonalnej oraz utrzymywania granic zawodowych.</t>
  </si>
  <si>
    <t>Absolwent przedstawia i uzasadnia stanowisko zawodowe oraz sporządza i prezentuje rezultaty pracy psychologa, w szczególności opinie i raporty psychologiczne zawierające wyniki diagnozy, przebieg i efekty oddziaływań, formułując jasne wnioski i rekomendacje oraz dostosowując formę przekazu (pisemną lub ustną) do odbiorcy.</t>
  </si>
  <si>
    <t>Absolwent przekazuje treści psychologiczne w ramach działań psychoedukacyjnych i popularyzatorskich, dostosowując język i formę przekazu do potrzeb różnych grup odbiorców.</t>
  </si>
  <si>
    <t>Absolwent posługuje się językiem obcym na poziomie biegłości B2+ ESOKJ oraz specjalistyczną terminologią w komunikacji zawodowej psychologa, w tym potrafi przygotować pisemny raport lub przeprowadzić ustną prezentację w tym języku.</t>
  </si>
  <si>
    <t>Absolwent planuje i organizuje własną pracę zawodową, ustala priorytety i harmonogram działań, a także zapewnia zgodność swoich działań zawodowych z zasadami etyki oraz przepisami prawa.</t>
  </si>
  <si>
    <t>Absolwent efektywnie współpracuje z innymi osobami w ramach zespołu oraz podejmuje wiodącą rolę w zespołach interdyscyplinarnych, w tym koordynując wspólne działania, inicjując konsultacje międzyprofesjonalne i uzgadniając cele pracy zespołu.</t>
  </si>
  <si>
    <t>Absolwent prowadzi, porządkuje i archiwizuje dokumentację psychologiczną, w tym opinie, raporty, zgody, notatki robocze i plany pracy, zgodnie z wymogami formalnymi, prawnymi i etycznymi, zapewniając poufność oraz bezpieczeństwo danych.</t>
  </si>
  <si>
    <t>Absolwent koordynuje działania innych osób lub kieruje pracą zespołu w warunkach instytucjonalnych, delegując zadania, monitorując ich wykonanie oraz zarządzając komunikacją wewnątrz zespołu – także w sytuacjach wymagających szybkiego reagowania.</t>
  </si>
  <si>
    <t>Absolwent samodzielnie planuje swój rozwój – opracowuje indywidualny plan uczenia się przez całe życie, realizuje zaplanowane działania i ocenia własne postępy w rozwoju kompetencji zawodowych.</t>
  </si>
  <si>
    <t>Absolwent wyszukuje i selekcjonuje wiarygodne źródła informacji (np. aktualne wytyczne, metaanalizy, standardy postępowania), ocenia krytycznie ich zawartość merytoryczną oraz przydatność praktyczną, a następnie syntetyzuje uzyskane informacje i wykorzystuje je do doskonalenia własnej praktyki zawodowej.</t>
  </si>
  <si>
    <t>Absolwent poddaje refleksji własne kompetencje – identyfikuje ich ograniczenia i potrzeby rozwojowe – oraz korzysta z superwizji, formułując cele superwizyjne i wdrażając uzyskane zalecenia w swojej praktyce.</t>
  </si>
  <si>
    <t>Absolwent aktywnie kieruje własnym rozwojem zawodowym oraz wspiera rozwój innych osób w zespole, dzieląc się wiedzą i doświadczeniem, dostarczając konstruktywnej informacji zwrotnej i motywując współpracowników do doskonalenia umiejętności.</t>
  </si>
  <si>
    <t>Absolwent analizuje funkcjonowanie psychiczne osoby w kontekście jej zdrowia somatycznego, przebiegu leczenia i doświadczeń hospitalizacji oraz interpretuje znaczenie tych czynników dla planowania adekwatnych działań psychologicznych.</t>
  </si>
  <si>
    <t>Absolwent uwzględnia czynniki biologiczne oraz farmakologiczne przy planowaniu oddziaływań psychologicznych w granicach kompetencji psychologa i – w razie potrzeby – konsultuje te kwestie z personelem medycznym.</t>
  </si>
  <si>
    <t>Absolwent współpracuje w zespołach medycznych, przekazuje członkom zespołu wnioski psychologiczne istotne dla procesu leczenia oraz respektuje zakres kompetencji i odpowiedzialności poszczególnych profesjonalistów.</t>
  </si>
  <si>
    <t>Absolwent stosuje obowiązujące procedury i organizuje własną pracę w podmiotach leczniczych zgodnie z zasadami bezpieczeństwa pacjenta; reaguje na zdarzenia niepożądane i zgłasza potencjalne zagrożenia zgodnie z przyjętymi procedurami.</t>
  </si>
  <si>
    <t>Absolwent działa skutecznie w warunkach nieprzewidywalnych – adaptuje istniejące metody pracy lub projektuje nowe usprawnienia – uwzględniając ryzyka, ograniczenia i obowiązujące standardy zawodowe.</t>
  </si>
  <si>
    <t>Absolwent formułuje i testuje hipotezy wdrożeniowe w obszarze psychologii zdrowia lub psychologii klinicznej, opierając się na dostępnych danych klinicznych, oraz – w razie potrzeby – uzgadnia z zespołem medycznym modyfikacje planowanych działań.</t>
  </si>
  <si>
    <t>Absolwent stosuje zaawansowane narzędzia informacyjno-komunikacyjne wykorzystywane w praktyce psychologicznej, w szczególności oprogramowanie do analizy danych i psychometrii, systemy elektronicznej dokumentacji oraz narzędzia telepsychologii i interwencji cyfrowych, w celu wspierania diagnozy, prowadzenia dokumentacji oraz monitorowania efektów oddziaływań, z zachowaniem zasad bezpieczeństwa danych, poufności i obowiązujących regulacji prawnych.</t>
  </si>
  <si>
    <t>Absolwent analizuje przypadki kliniczne, ocenia ryzyko psychologiczne oraz proponuje adekwatne strategie oddziaływań psychologicznych, działając w granicach kompetencji zawodowych, albo projektuje i prowadzi działania psychoedukacyjne oraz działania wspierające zdrowie i dobrostan, dostosowane do potrzeb jednostek lub grup oraz warunków instytucjonalnych, w zależności od wybranej ścieżki kształcenia.</t>
  </si>
  <si>
    <r>
      <t xml:space="preserve">Efekty uczenia się
</t>
    </r>
    <r>
      <rPr>
        <sz val="11"/>
        <color theme="1"/>
        <rFont val="Calibri"/>
        <family val="2"/>
        <charset val="238"/>
        <scheme val="minor"/>
      </rPr>
      <t>po ukończeniu studiów</t>
    </r>
  </si>
  <si>
    <t>Absolwent jest gotów do krytycznej oceny posiadanej wiedzy psychologicznej oraz informacji otrzymywanych z różnych źródeł, w tym stosowanych metod i procedur, jak również do uznawania znaczenia wiedzy naukowej w rozwiązywaniu problemów poznawczych i praktycznych; w szczególności identyfikuje ograniczenia dostępnych dowodów, narzędzi i własnych interpretacji, wskazuje ryzyko błędu oraz konsekwencje decyzji, a także uzasadnia wybór metod działania na podstawie aktualnej wiedzy naukowej.</t>
  </si>
  <si>
    <t>Absolwent jest gotów do zasięgania opinii ekspertów oraz korzystania z superwizji i konsultacji specjalistycznych w sytuacjach, gdy samodzielne rozwiązanie problemu przekracza zakres jego kompetencji, wiąże się z ryzykiem popełnienia błędu lub pojawiają się wątpliwości diagnostyczne bądź etyczne –celem zapewnienia najwyższej jakości i bezpieczeństwa oddziaływań psychologicznych.</t>
  </si>
  <si>
    <t>Absolwent jest gotów do odpowiedzialnego i samodzielnego wykonywania zawodu psychologa oraz do postępowania etycznego z poszanowaniem praw, godności i bezpieczeństwa odbiorców usług psychologicznych, w szczególności rozpoznaje dylematy etyczne, podejmuje decyzje wyłącznie w granicach posiadanych kompetencji, odmawia działań wykraczających poza te kompetencje oraz zgłasza sytuacje mogące skutkować wyrządzeniem szkody.</t>
  </si>
  <si>
    <t>Absolwent jest gotów do współpracy w zespołach interdyscyplinarnych oraz do rzetelnego pełnienia swoich ról zawodowych i organizacyjnych w instytucjach ochrony zdrowia i pomocy społecznej, uwzględniając zmieniające się potrzeby społeczne; w szczególności uzgadnia cele i zakresy odpowiedzialności w zespole, uwzględnia perspektywę przedstawicieli innych profesji oraz reaguje na naruszenia standardów zawodowych.</t>
  </si>
  <si>
    <t>Absolwent jest gotów do współpracy z przedstawicielami zawodów medycznych z poszanowaniem ich kompetencji i odpowiedzialności, w celu zapewnienia ciągłości opieki oraz bezpieczeństwa pacjenta w systemie ochrony zdrowia; w szczególności komunikuje granice swoich kompetencji, uzgadnia plany opieki i przekazuje informacje kliniczne z zachowaniem zasad poufności.</t>
  </si>
  <si>
    <t>Absolwent jest gotów do wypełniania zobowiązań społecznych związanych z wykonywaniem zawodu psychologa – w tym do inspirowania i współorganizowania działań na rzecz społeczności oraz do rozwijania standardów profesjonalnych w praktyce psychologicznej.</t>
  </si>
  <si>
    <t>Absolwent jest gotów do inicjowania działań na rzecz interesu publicznego, z uwzględnieniem społecznych, kulturowych i instytucjonalnych uwarunkowań funkcjonowania osób i grup w obszarze ochrony zdrowia psychicznego oraz wsparcia psychospołecznego, i w szczególności jest gotów do diagnozowania potrzeb społeczności i grup, podejmowania działań adekwatnych kulturowo oraz identyfikowania barier dostępu do pomocy i ryzyka wykluczenia.</t>
  </si>
  <si>
    <t>Absolwent jest gotów do podejmowania działań na rzecz interesu publicznego w systemie ochrony zdrowia – szczególnie poprzez wspieranie jakości opieki, bezpieczeństwa pacjenta oraz współpracy interdyscyplinarnej – w ramach praktyki psychologicznej realizowanej w podmiotach leczniczych.</t>
  </si>
  <si>
    <t>Absolwent jest gotów do myślenia i działania w sposób przedsiębiorczy w obszarze zawodowej aktywności psychologa, w szczególności do inicjowania i wdrażania innowacji organizacyjnych lub usługowych (np. nowych form wsparcia, psychoedukacji lub organizacji pracy), identyfikowania potrzeb odbiorców i barier systemowych, a także oceny wykonalności i odpowiedzialności proponowanych rozwiązań z uwzględnieniem standardów etycznych, prawnych i jakościowych.</t>
  </si>
  <si>
    <r>
      <t xml:space="preserve">Przedmiot fakultatywny </t>
    </r>
    <r>
      <rPr>
        <sz val="14"/>
        <color rgb="FFFF0000"/>
        <rFont val="Calibri"/>
        <family val="2"/>
        <charset val="238"/>
        <scheme val="minor"/>
      </rPr>
      <t>3</t>
    </r>
    <r>
      <rPr>
        <sz val="14"/>
        <color theme="1"/>
        <rFont val="Calibri"/>
        <family val="2"/>
        <charset val="238"/>
        <scheme val="minor"/>
      </rPr>
      <t>: Prowadzenie działalności/ Kampanie społeczne</t>
    </r>
  </si>
  <si>
    <r>
      <t xml:space="preserve">Przedmiot fakultatywny </t>
    </r>
    <r>
      <rPr>
        <sz val="14"/>
        <color rgb="FFFF0000"/>
        <rFont val="Calibri"/>
        <family val="2"/>
        <charset val="238"/>
        <scheme val="minor"/>
      </rPr>
      <t>4</t>
    </r>
    <r>
      <rPr>
        <sz val="14"/>
        <color theme="1"/>
        <rFont val="Calibri"/>
        <family val="2"/>
        <charset val="238"/>
        <scheme val="minor"/>
      </rPr>
      <t>: Podstawy organizacji i zarządzania / Psychologia języka</t>
    </r>
  </si>
  <si>
    <t>S.W1</t>
  </si>
  <si>
    <t>S.W2</t>
  </si>
  <si>
    <t>S.W3</t>
  </si>
  <si>
    <t>P.W1</t>
  </si>
  <si>
    <t>P.W2</t>
  </si>
  <si>
    <t>P.W3</t>
  </si>
  <si>
    <t>Absolwent zna i rozumie podstawowe zasady udzielania pierwszej pomocy przedmedycznej w nagłych wypadkach.</t>
  </si>
  <si>
    <t>Absolwent zna i rozumie zasoby i usługi biblioteczne, w tym bazy danych, katalogi oraz narzędzia wyszukiwania informacji naukowej na poziomie zaawansowanym.</t>
  </si>
  <si>
    <t>Absolwent zna i rozumie zasady etycznego korzystania z informacji, w tym prawa autorskiego i zasady cytowania źródeł.</t>
  </si>
  <si>
    <t>Absolwent zna i rozumie metody wyszukiwania, selekcji i oceny wiarygodności źródeł informacji naukowej.</t>
  </si>
  <si>
    <t>Praktyki zawodowe w zakresie promocji i edukacji zdrowia</t>
  </si>
  <si>
    <t>Przedmiot fakultatywny 8: Psychologia zwycięstwa</t>
  </si>
  <si>
    <t>Absolwent zna i rozumie zasady zapobiegania tym zagrożeniom oraz procedur postępowania w sytuacjach niebezpiecznych.</t>
  </si>
  <si>
    <t>Absolwent zna i rozumie podstawowe zagrożenia dla zdrowia i życia, które mogą wystąpić w środowisku nauki i pracy, w tym zagrożeń pożarowych, chemicznych, fizycznych i biologicznych.</t>
  </si>
  <si>
    <t>Przedmiot fakultatywny 9: Podstawy terapii DBT</t>
  </si>
  <si>
    <t>Trening umiejętności interpersonalnych I</t>
  </si>
  <si>
    <t>Trening umiejętności interpersonalnych II</t>
  </si>
  <si>
    <t>Zdrowie publiczne w praktyce psychologa</t>
  </si>
  <si>
    <t>Przedmiot fakultatywny 7: Trening komunikacji międzykulturowej</t>
  </si>
  <si>
    <t>Przedmiot fakultatywny 1:Rola organizacji pozarządowych w systemie ochrony zdrowia</t>
  </si>
  <si>
    <t>Neuroobrazowanie w diagnozie psychologicznej</t>
  </si>
  <si>
    <t>Psychologia kryzysu i stresu w praktyce pomocowej</t>
  </si>
  <si>
    <t>Przedmiot fakultatywny 2: Podstawy neurobiologii eksperymentalnej</t>
  </si>
  <si>
    <t>Projekt badawczy grupowy- psychologia zdrowia / psychologia kliniczna</t>
  </si>
  <si>
    <t>Przedmiot fakultatywny 6: Podstawy uczenia maszynowego i sieci neuronowych / Psychologia człowieka w świecie AI</t>
  </si>
  <si>
    <t>Przedmiot fakultatywny 3: Prowadzenie działalności / Kampanie społeczne</t>
  </si>
  <si>
    <r>
      <t xml:space="preserve">Przedmiot fakultatywny 2: Społeczne przyczyny kryzysów psychicznych / </t>
    </r>
    <r>
      <rPr>
        <sz val="12"/>
        <color rgb="FFFF0000"/>
        <rFont val="Calibri"/>
        <family val="2"/>
        <charset val="238"/>
        <scheme val="minor"/>
      </rPr>
      <t xml:space="preserve">Podstawy neurobiologii eksperymentalnej </t>
    </r>
  </si>
  <si>
    <r>
      <t>Przedmiot fakultatywny 1:</t>
    </r>
    <r>
      <rPr>
        <sz val="12"/>
        <color rgb="FFFF0000"/>
        <rFont val="Calibri"/>
        <family val="2"/>
        <charset val="238"/>
        <scheme val="minor"/>
      </rPr>
      <t xml:space="preserve"> Rola organizacji pozarządowych w systemie ochrony zdrowia </t>
    </r>
    <r>
      <rPr>
        <sz val="12"/>
        <rFont val="Calibri"/>
        <family val="2"/>
        <charset val="238"/>
        <scheme val="minor"/>
      </rPr>
      <t xml:space="preserve">/ Sport, umysł i granice ludzkich możliwości </t>
    </r>
  </si>
  <si>
    <t>Przedmiot fakultatywny 8:  Podstawy marketingu / Psychologia zwycięstwa</t>
  </si>
  <si>
    <t>Przedmiot fakultatywny 9: Podstawy psychoterapii zaburzeń odżywiania / Podstawy terapii DBT</t>
  </si>
  <si>
    <r>
      <t xml:space="preserve">Przedmiot fakultatywny 7: </t>
    </r>
    <r>
      <rPr>
        <sz val="12"/>
        <color rgb="FFC00000"/>
        <rFont val="Calibri"/>
        <family val="2"/>
        <charset val="238"/>
        <scheme val="minor"/>
      </rPr>
      <t xml:space="preserve">Trening komunikacji międzykulturowej  </t>
    </r>
    <r>
      <rPr>
        <sz val="12"/>
        <color theme="1"/>
        <rFont val="Calibri"/>
        <family val="2"/>
        <charset val="238"/>
        <scheme val="minor"/>
      </rPr>
      <t>/ Psychoseksuologia (PK) / Terapia perfekcjonizmu w podejściu poznawczo – behawioralnym (PZ)</t>
    </r>
  </si>
  <si>
    <r>
      <t xml:space="preserve">Przedmiot fakultatywny 10: Zachowania suicydalne – diagnoza i terapia / PK: ADHD – diagnoza i terapia; 
PZ: </t>
    </r>
    <r>
      <rPr>
        <sz val="12"/>
        <color rgb="FFC00000"/>
        <rFont val="Calibri"/>
        <family val="2"/>
        <charset val="238"/>
        <scheme val="minor"/>
      </rPr>
      <t>Fizjoprofilaktyka</t>
    </r>
  </si>
  <si>
    <t>KOD_GPS</t>
  </si>
  <si>
    <t>GODZINY_ogolem</t>
  </si>
  <si>
    <t>ECTS_jezyki</t>
  </si>
  <si>
    <t>ECTS_online</t>
  </si>
  <si>
    <t>ECTS_bezposredni</t>
  </si>
  <si>
    <t>ECTS_humanistyczne</t>
  </si>
  <si>
    <t>ECTS_dyspozycja</t>
  </si>
  <si>
    <t>GODZINY_wf</t>
  </si>
  <si>
    <t>GODZINY_jezyki</t>
  </si>
  <si>
    <t>GODZINY_praktyki</t>
  </si>
  <si>
    <t>ECTS_praktyki</t>
  </si>
  <si>
    <t>ECTS_profil_praktyczny</t>
  </si>
  <si>
    <t>*Czy przedmiot kształtuje kompetencje komunikacyjne
*Czy przedmiot humanistyczny lub społeczny
*Czy przedmiot  związany z prowadzoną w uczelni działalnością naukową
*Czy zajęcia kształtują umiejętności praktyczne</t>
  </si>
  <si>
    <t>2030/2031</t>
  </si>
  <si>
    <t>(suma(16:28;30:31)+suma(39:51;53:54)*5/1</t>
  </si>
  <si>
    <t>(19+20+21+22+23+24+25+26+31+42+43+44+45+46+47+48+49+54)*5/3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</si>
</sst>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72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theme="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rgb="FFFFFF00"/>
      <name val="Calibri"/>
      <family val="2"/>
      <charset val="238"/>
      <scheme val="minor"/>
    </font>
    <font>
      <sz val="12"/>
      <color rgb="FFFFFF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theme="0" tint="-0.34998626667073579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5"/>
      <color rgb="FFFFFF0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trike/>
      <sz val="11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trike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trike/>
      <sz val="11"/>
      <color rgb="FFC00000"/>
      <name val="Calibri"/>
      <family val="2"/>
      <charset val="238"/>
      <scheme val="minor"/>
    </font>
    <font>
      <b/>
      <strike/>
      <sz val="11"/>
      <color rgb="FFC00000"/>
      <name val="Calibri"/>
      <family val="2"/>
      <charset val="238"/>
    </font>
    <font>
      <strike/>
      <sz val="11"/>
      <color rgb="FFC0000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7" tint="0.7999816888943144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FF0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rgb="FFFFFF00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rgb="FFFFFF00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</fonts>
  <fills count="5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2363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FEEDD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DA63"/>
        <bgColor indexed="64"/>
      </patternFill>
    </fill>
    <fill>
      <patternFill patternType="solid">
        <fgColor rgb="FF005DA2"/>
        <bgColor indexed="64"/>
      </patternFill>
    </fill>
    <fill>
      <patternFill patternType="solid">
        <fgColor rgb="FFE2AC00"/>
        <bgColor indexed="64"/>
      </patternFill>
    </fill>
    <fill>
      <patternFill patternType="solid">
        <fgColor rgb="FF008FFA"/>
        <bgColor indexed="64"/>
      </patternFill>
    </fill>
    <fill>
      <patternFill patternType="solid">
        <fgColor rgb="FFF79709"/>
        <bgColor indexed="64"/>
      </patternFill>
    </fill>
    <fill>
      <patternFill patternType="solid">
        <fgColor rgb="FFC0ECF2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rgb="FFE9ABD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6EBF"/>
        <bgColor rgb="FF0070C0"/>
      </patternFill>
    </fill>
    <fill>
      <patternFill patternType="solid">
        <fgColor rgb="FF00B047"/>
        <bgColor rgb="FF00B050"/>
      </patternFill>
    </fill>
    <fill>
      <patternFill patternType="mediumGray">
        <fgColor rgb="FF006EBF"/>
        <bgColor rgb="FF0070C0"/>
      </patternFill>
    </fill>
    <fill>
      <patternFill patternType="solid">
        <fgColor rgb="FFE2AC00"/>
        <bgColor rgb="FFEAB2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85">
    <xf numFmtId="0" fontId="0" fillId="0" borderId="0" xfId="0"/>
    <xf numFmtId="0" fontId="4" fillId="0" borderId="0" xfId="0" applyFont="1"/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/>
    <xf numFmtId="0" fontId="0" fillId="0" borderId="0" xfId="0" quotePrefix="1"/>
    <xf numFmtId="0" fontId="0" fillId="0" borderId="7" xfId="0" quotePrefix="1" applyBorder="1"/>
    <xf numFmtId="0" fontId="0" fillId="0" borderId="0" xfId="0" applyAlignment="1">
      <alignment horizontal="center" vertical="center"/>
    </xf>
    <xf numFmtId="0" fontId="9" fillId="0" borderId="0" xfId="0" applyFont="1" applyAlignment="1">
      <alignment wrapText="1"/>
    </xf>
    <xf numFmtId="0" fontId="0" fillId="0" borderId="0" xfId="0" applyAlignment="1">
      <alignment horizontal="left" wrapText="1"/>
    </xf>
    <xf numFmtId="2" fontId="8" fillId="6" borderId="22" xfId="0" applyNumberFormat="1" applyFont="1" applyFill="1" applyBorder="1" applyAlignment="1">
      <alignment vertical="center" wrapText="1"/>
    </xf>
    <xf numFmtId="0" fontId="0" fillId="10" borderId="7" xfId="0" applyFill="1" applyBorder="1" applyAlignment="1">
      <alignment textRotation="90" wrapText="1"/>
    </xf>
    <xf numFmtId="0" fontId="4" fillId="12" borderId="7" xfId="0" applyFont="1" applyFill="1" applyBorder="1" applyAlignment="1">
      <alignment textRotation="90" wrapText="1"/>
    </xf>
    <xf numFmtId="0" fontId="6" fillId="9" borderId="30" xfId="0" applyFont="1" applyFill="1" applyBorder="1" applyAlignment="1">
      <alignment textRotation="90" wrapText="1"/>
    </xf>
    <xf numFmtId="0" fontId="4" fillId="15" borderId="4" xfId="0" applyFont="1" applyFill="1" applyBorder="1" applyAlignment="1">
      <alignment textRotation="90" wrapText="1"/>
    </xf>
    <xf numFmtId="0" fontId="6" fillId="14" borderId="4" xfId="0" applyFont="1" applyFill="1" applyBorder="1" applyAlignment="1">
      <alignment textRotation="90" wrapText="1"/>
    </xf>
    <xf numFmtId="2" fontId="0" fillId="0" borderId="0" xfId="0" applyNumberFormat="1" applyAlignment="1">
      <alignment wrapText="1"/>
    </xf>
    <xf numFmtId="2" fontId="9" fillId="0" borderId="0" xfId="0" applyNumberFormat="1" applyFont="1" applyAlignment="1">
      <alignment wrapText="1"/>
    </xf>
    <xf numFmtId="2" fontId="4" fillId="3" borderId="4" xfId="0" applyNumberFormat="1" applyFont="1" applyFill="1" applyBorder="1" applyAlignment="1">
      <alignment textRotation="90" wrapText="1"/>
    </xf>
    <xf numFmtId="0" fontId="13" fillId="2" borderId="7" xfId="0" quotePrefix="1" applyFont="1" applyFill="1" applyBorder="1"/>
    <xf numFmtId="0" fontId="4" fillId="0" borderId="0" xfId="0" applyFont="1" applyAlignment="1">
      <alignment vertical="center"/>
    </xf>
    <xf numFmtId="0" fontId="0" fillId="2" borderId="0" xfId="0" applyFill="1"/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left" wrapText="1"/>
    </xf>
    <xf numFmtId="2" fontId="0" fillId="0" borderId="0" xfId="0" quotePrefix="1" applyNumberFormat="1"/>
    <xf numFmtId="2" fontId="0" fillId="0" borderId="0" xfId="0" applyNumberFormat="1" applyAlignment="1">
      <alignment horizontal="left"/>
    </xf>
    <xf numFmtId="2" fontId="0" fillId="0" borderId="0" xfId="0" applyNumberFormat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9" xfId="0" applyBorder="1"/>
    <xf numFmtId="0" fontId="16" fillId="0" borderId="2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0" fontId="16" fillId="0" borderId="3" xfId="0" applyFont="1" applyBorder="1" applyAlignment="1">
      <alignment vertical="center" wrapText="1"/>
    </xf>
    <xf numFmtId="0" fontId="16" fillId="11" borderId="4" xfId="0" applyFont="1" applyFill="1" applyBorder="1" applyAlignment="1">
      <alignment vertical="center"/>
    </xf>
    <xf numFmtId="0" fontId="16" fillId="10" borderId="4" xfId="0" applyFont="1" applyFill="1" applyBorder="1" applyAlignment="1">
      <alignment vertical="center"/>
    </xf>
    <xf numFmtId="0" fontId="16" fillId="12" borderId="22" xfId="0" applyFont="1" applyFill="1" applyBorder="1" applyAlignment="1">
      <alignment vertical="center"/>
    </xf>
    <xf numFmtId="0" fontId="17" fillId="15" borderId="4" xfId="1" applyFont="1" applyFill="1" applyBorder="1" applyAlignment="1">
      <alignment vertical="center"/>
    </xf>
    <xf numFmtId="2" fontId="16" fillId="3" borderId="4" xfId="0" applyNumberFormat="1" applyFont="1" applyFill="1" applyBorder="1" applyAlignment="1">
      <alignment vertical="center"/>
    </xf>
    <xf numFmtId="2" fontId="16" fillId="14" borderId="7" xfId="0" applyNumberFormat="1" applyFont="1" applyFill="1" applyBorder="1" applyAlignment="1">
      <alignment vertical="center" wrapText="1"/>
    </xf>
    <xf numFmtId="2" fontId="16" fillId="9" borderId="3" xfId="0" applyNumberFormat="1" applyFont="1" applyFill="1" applyBorder="1" applyAlignment="1">
      <alignment vertical="center" wrapText="1"/>
    </xf>
    <xf numFmtId="0" fontId="16" fillId="11" borderId="3" xfId="0" applyFont="1" applyFill="1" applyBorder="1" applyAlignment="1">
      <alignment vertical="center"/>
    </xf>
    <xf numFmtId="0" fontId="16" fillId="12" borderId="4" xfId="0" applyFont="1" applyFill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6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6" fillId="0" borderId="7" xfId="0" applyFont="1" applyBorder="1" applyAlignment="1">
      <alignment horizontal="center" vertical="center"/>
    </xf>
    <xf numFmtId="0" fontId="16" fillId="0" borderId="9" xfId="0" applyFont="1" applyBorder="1" applyAlignment="1">
      <alignment vertical="center" wrapText="1"/>
    </xf>
    <xf numFmtId="0" fontId="16" fillId="11" borderId="7" xfId="0" applyFont="1" applyFill="1" applyBorder="1" applyAlignment="1">
      <alignment vertical="center"/>
    </xf>
    <xf numFmtId="0" fontId="16" fillId="10" borderId="7" xfId="0" applyFont="1" applyFill="1" applyBorder="1" applyAlignment="1">
      <alignment vertical="center"/>
    </xf>
    <xf numFmtId="0" fontId="16" fillId="12" borderId="10" xfId="0" applyFont="1" applyFill="1" applyBorder="1" applyAlignment="1">
      <alignment vertical="center"/>
    </xf>
    <xf numFmtId="0" fontId="17" fillId="15" borderId="7" xfId="1" applyFont="1" applyFill="1" applyBorder="1" applyAlignment="1">
      <alignment vertical="center"/>
    </xf>
    <xf numFmtId="0" fontId="16" fillId="11" borderId="9" xfId="0" applyFont="1" applyFill="1" applyBorder="1" applyAlignment="1">
      <alignment vertical="center"/>
    </xf>
    <xf numFmtId="0" fontId="16" fillId="12" borderId="7" xfId="0" applyFont="1" applyFill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11" borderId="17" xfId="0" applyFont="1" applyFill="1" applyBorder="1" applyAlignment="1">
      <alignment vertical="center"/>
    </xf>
    <xf numFmtId="0" fontId="16" fillId="12" borderId="11" xfId="0" applyFont="1" applyFill="1" applyBorder="1" applyAlignment="1">
      <alignment vertical="center"/>
    </xf>
    <xf numFmtId="0" fontId="16" fillId="0" borderId="24" xfId="0" applyFont="1" applyBorder="1" applyAlignment="1">
      <alignment vertical="center"/>
    </xf>
    <xf numFmtId="2" fontId="16" fillId="14" borderId="4" xfId="0" applyNumberFormat="1" applyFont="1" applyFill="1" applyBorder="1" applyAlignment="1">
      <alignment vertical="center" wrapText="1"/>
    </xf>
    <xf numFmtId="0" fontId="16" fillId="0" borderId="13" xfId="0" applyFont="1" applyBorder="1" applyAlignment="1">
      <alignment vertical="center"/>
    </xf>
    <xf numFmtId="0" fontId="16" fillId="0" borderId="13" xfId="0" applyFont="1" applyBorder="1" applyAlignment="1">
      <alignment horizontal="center" vertical="center"/>
    </xf>
    <xf numFmtId="0" fontId="16" fillId="0" borderId="23" xfId="0" applyFont="1" applyBorder="1" applyAlignment="1">
      <alignment vertical="center" wrapText="1"/>
    </xf>
    <xf numFmtId="0" fontId="16" fillId="0" borderId="16" xfId="0" applyFont="1" applyBorder="1" applyAlignment="1">
      <alignment vertical="center"/>
    </xf>
    <xf numFmtId="0" fontId="16" fillId="11" borderId="13" xfId="0" applyFont="1" applyFill="1" applyBorder="1" applyAlignment="1">
      <alignment vertical="center"/>
    </xf>
    <xf numFmtId="0" fontId="16" fillId="10" borderId="13" xfId="0" applyFont="1" applyFill="1" applyBorder="1" applyAlignment="1">
      <alignment vertical="center"/>
    </xf>
    <xf numFmtId="1" fontId="13" fillId="2" borderId="7" xfId="0" quotePrefix="1" applyNumberFormat="1" applyFont="1" applyFill="1" applyBorder="1"/>
    <xf numFmtId="2" fontId="6" fillId="19" borderId="4" xfId="0" applyNumberFormat="1" applyFont="1" applyFill="1" applyBorder="1" applyAlignment="1">
      <alignment textRotation="90" wrapText="1"/>
    </xf>
    <xf numFmtId="0" fontId="17" fillId="15" borderId="13" xfId="1" applyFont="1" applyFill="1" applyBorder="1" applyAlignment="1">
      <alignment vertical="center"/>
    </xf>
    <xf numFmtId="2" fontId="16" fillId="14" borderId="13" xfId="0" applyNumberFormat="1" applyFont="1" applyFill="1" applyBorder="1" applyAlignment="1">
      <alignment vertical="center" wrapText="1"/>
    </xf>
    <xf numFmtId="0" fontId="16" fillId="11" borderId="23" xfId="0" applyFont="1" applyFill="1" applyBorder="1" applyAlignment="1">
      <alignment vertical="center"/>
    </xf>
    <xf numFmtId="0" fontId="16" fillId="12" borderId="13" xfId="0" applyFont="1" applyFill="1" applyBorder="1" applyAlignment="1">
      <alignment vertical="center"/>
    </xf>
    <xf numFmtId="0" fontId="9" fillId="0" borderId="7" xfId="0" applyFont="1" applyBorder="1" applyAlignment="1">
      <alignment wrapText="1"/>
    </xf>
    <xf numFmtId="3" fontId="0" fillId="0" borderId="7" xfId="0" applyNumberFormat="1" applyBorder="1" applyAlignment="1">
      <alignment horizontal="left" wrapText="1"/>
    </xf>
    <xf numFmtId="0" fontId="16" fillId="10" borderId="26" xfId="0" applyFont="1" applyFill="1" applyBorder="1" applyAlignment="1">
      <alignment vertical="center"/>
    </xf>
    <xf numFmtId="2" fontId="16" fillId="3" borderId="7" xfId="0" applyNumberFormat="1" applyFont="1" applyFill="1" applyBorder="1" applyAlignment="1">
      <alignment vertical="center"/>
    </xf>
    <xf numFmtId="2" fontId="16" fillId="9" borderId="9" xfId="0" applyNumberFormat="1" applyFont="1" applyFill="1" applyBorder="1" applyAlignment="1">
      <alignment vertical="center" wrapText="1"/>
    </xf>
    <xf numFmtId="0" fontId="16" fillId="0" borderId="25" xfId="0" applyFont="1" applyBorder="1" applyAlignment="1">
      <alignment vertical="center"/>
    </xf>
    <xf numFmtId="0" fontId="16" fillId="0" borderId="26" xfId="0" applyFont="1" applyBorder="1" applyAlignment="1">
      <alignment horizontal="center" vertical="center"/>
    </xf>
    <xf numFmtId="0" fontId="16" fillId="0" borderId="26" xfId="0" applyFont="1" applyBorder="1" applyAlignment="1">
      <alignment vertical="center"/>
    </xf>
    <xf numFmtId="0" fontId="16" fillId="0" borderId="36" xfId="0" applyFont="1" applyBorder="1" applyAlignment="1">
      <alignment vertical="center" wrapText="1"/>
    </xf>
    <xf numFmtId="0" fontId="16" fillId="12" borderId="35" xfId="0" applyFont="1" applyFill="1" applyBorder="1" applyAlignment="1">
      <alignment vertical="center"/>
    </xf>
    <xf numFmtId="0" fontId="17" fillId="15" borderId="26" xfId="1" applyFont="1" applyFill="1" applyBorder="1" applyAlignment="1">
      <alignment vertical="center"/>
    </xf>
    <xf numFmtId="2" fontId="16" fillId="3" borderId="26" xfId="0" applyNumberFormat="1" applyFont="1" applyFill="1" applyBorder="1" applyAlignment="1">
      <alignment vertical="center"/>
    </xf>
    <xf numFmtId="2" fontId="16" fillId="14" borderId="26" xfId="0" applyNumberFormat="1" applyFont="1" applyFill="1" applyBorder="1" applyAlignment="1">
      <alignment vertical="center" wrapText="1"/>
    </xf>
    <xf numFmtId="2" fontId="16" fillId="9" borderId="36" xfId="0" applyNumberFormat="1" applyFont="1" applyFill="1" applyBorder="1" applyAlignment="1">
      <alignment vertical="center" wrapText="1"/>
    </xf>
    <xf numFmtId="0" fontId="16" fillId="11" borderId="36" xfId="0" applyFont="1" applyFill="1" applyBorder="1" applyAlignment="1">
      <alignment vertical="center"/>
    </xf>
    <xf numFmtId="0" fontId="16" fillId="12" borderId="26" xfId="0" applyFont="1" applyFill="1" applyBorder="1" applyAlignment="1">
      <alignment vertical="center"/>
    </xf>
    <xf numFmtId="0" fontId="16" fillId="0" borderId="21" xfId="0" applyFont="1" applyBorder="1" applyAlignment="1">
      <alignment vertical="center"/>
    </xf>
    <xf numFmtId="0" fontId="22" fillId="0" borderId="0" xfId="0" applyFont="1"/>
    <xf numFmtId="0" fontId="23" fillId="0" borderId="0" xfId="0" applyFont="1"/>
    <xf numFmtId="0" fontId="9" fillId="0" borderId="0" xfId="0" applyFont="1"/>
    <xf numFmtId="0" fontId="13" fillId="0" borderId="7" xfId="0" quotePrefix="1" applyFont="1" applyBorder="1"/>
    <xf numFmtId="0" fontId="24" fillId="0" borderId="0" xfId="0" applyFont="1"/>
    <xf numFmtId="0" fontId="4" fillId="0" borderId="0" xfId="0" applyFont="1" applyAlignment="1">
      <alignment wrapText="1"/>
    </xf>
    <xf numFmtId="0" fontId="4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26" fillId="15" borderId="42" xfId="0" applyFont="1" applyFill="1" applyBorder="1" applyAlignment="1">
      <alignment horizontal="center" vertical="center" wrapText="1"/>
    </xf>
    <xf numFmtId="0" fontId="26" fillId="11" borderId="42" xfId="0" applyFont="1" applyFill="1" applyBorder="1" applyAlignment="1">
      <alignment horizontal="center" vertical="center" wrapText="1"/>
    </xf>
    <xf numFmtId="0" fontId="26" fillId="10" borderId="11" xfId="0" applyFont="1" applyFill="1" applyBorder="1" applyAlignment="1">
      <alignment horizontal="center" vertical="center"/>
    </xf>
    <xf numFmtId="0" fontId="26" fillId="12" borderId="43" xfId="0" applyFont="1" applyFill="1" applyBorder="1" applyAlignment="1">
      <alignment horizontal="center" vertical="center" wrapText="1"/>
    </xf>
    <xf numFmtId="2" fontId="26" fillId="3" borderId="43" xfId="0" applyNumberFormat="1" applyFont="1" applyFill="1" applyBorder="1" applyAlignment="1">
      <alignment horizontal="center" vertical="center" wrapText="1"/>
    </xf>
    <xf numFmtId="0" fontId="26" fillId="14" borderId="43" xfId="0" applyFont="1" applyFill="1" applyBorder="1" applyAlignment="1">
      <alignment horizontal="center" vertical="center" wrapText="1"/>
    </xf>
    <xf numFmtId="49" fontId="26" fillId="9" borderId="28" xfId="0" applyNumberFormat="1" applyFont="1" applyFill="1" applyBorder="1" applyAlignment="1">
      <alignment horizontal="center" vertical="center" wrapText="1"/>
    </xf>
    <xf numFmtId="0" fontId="26" fillId="11" borderId="44" xfId="0" applyFont="1" applyFill="1" applyBorder="1" applyAlignment="1">
      <alignment horizontal="center" vertical="center" wrapText="1"/>
    </xf>
    <xf numFmtId="0" fontId="26" fillId="12" borderId="42" xfId="0" applyFont="1" applyFill="1" applyBorder="1" applyAlignment="1">
      <alignment horizontal="center" vertical="center" wrapText="1"/>
    </xf>
    <xf numFmtId="0" fontId="13" fillId="2" borderId="45" xfId="0" applyFont="1" applyFill="1" applyBorder="1" applyAlignment="1">
      <alignment horizontal="center" vertical="top" wrapText="1"/>
    </xf>
    <xf numFmtId="0" fontId="9" fillId="10" borderId="4" xfId="0" applyFont="1" applyFill="1" applyBorder="1" applyAlignment="1">
      <alignment horizontal="center" vertical="center"/>
    </xf>
    <xf numFmtId="0" fontId="26" fillId="12" borderId="22" xfId="0" applyFont="1" applyFill="1" applyBorder="1" applyAlignment="1">
      <alignment horizontal="center" vertical="center" wrapText="1"/>
    </xf>
    <xf numFmtId="0" fontId="26" fillId="15" borderId="7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0" fontId="26" fillId="14" borderId="7" xfId="0" applyFont="1" applyFill="1" applyBorder="1" applyAlignment="1">
      <alignment horizontal="center" vertical="center" wrapText="1"/>
    </xf>
    <xf numFmtId="0" fontId="26" fillId="9" borderId="31" xfId="0" applyFont="1" applyFill="1" applyBorder="1" applyAlignment="1">
      <alignment horizontal="center" vertical="center" wrapText="1"/>
    </xf>
    <xf numFmtId="0" fontId="13" fillId="11" borderId="3" xfId="0" applyFont="1" applyFill="1" applyBorder="1" applyAlignment="1">
      <alignment horizontal="center" vertical="center" wrapText="1"/>
    </xf>
    <xf numFmtId="0" fontId="13" fillId="12" borderId="4" xfId="0" applyFont="1" applyFill="1" applyBorder="1" applyAlignment="1">
      <alignment horizontal="center" vertical="center" wrapText="1"/>
    </xf>
    <xf numFmtId="0" fontId="13" fillId="11" borderId="4" xfId="0" applyFont="1" applyFill="1" applyBorder="1" applyAlignment="1">
      <alignment horizontal="center" vertical="center" wrapText="1"/>
    </xf>
    <xf numFmtId="0" fontId="13" fillId="2" borderId="44" xfId="0" applyFont="1" applyFill="1" applyBorder="1" applyAlignment="1">
      <alignment horizontal="center" vertical="top" wrapText="1"/>
    </xf>
    <xf numFmtId="0" fontId="16" fillId="0" borderId="7" xfId="0" applyFont="1" applyBorder="1" applyAlignment="1">
      <alignment vertical="center" wrapText="1"/>
    </xf>
    <xf numFmtId="0" fontId="16" fillId="0" borderId="26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6" fillId="11" borderId="4" xfId="0" quotePrefix="1" applyFont="1" applyFill="1" applyBorder="1" applyAlignment="1">
      <alignment vertical="center"/>
    </xf>
    <xf numFmtId="0" fontId="16" fillId="10" borderId="4" xfId="0" quotePrefix="1" applyFont="1" applyFill="1" applyBorder="1" applyAlignment="1">
      <alignment vertical="center"/>
    </xf>
    <xf numFmtId="0" fontId="16" fillId="12" borderId="4" xfId="0" quotePrefix="1" applyFont="1" applyFill="1" applyBorder="1" applyAlignment="1">
      <alignment vertical="center"/>
    </xf>
    <xf numFmtId="0" fontId="16" fillId="21" borderId="4" xfId="0" quotePrefix="1" applyFont="1" applyFill="1" applyBorder="1" applyAlignment="1">
      <alignment vertical="center"/>
    </xf>
    <xf numFmtId="0" fontId="16" fillId="0" borderId="4" xfId="0" quotePrefix="1" applyFont="1" applyBorder="1" applyAlignment="1">
      <alignment horizontal="center" vertical="center"/>
    </xf>
    <xf numFmtId="0" fontId="16" fillId="0" borderId="4" xfId="0" quotePrefix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9" fillId="20" borderId="4" xfId="0" applyFont="1" applyFill="1" applyBorder="1" applyAlignment="1">
      <alignment vertical="center" wrapText="1"/>
    </xf>
    <xf numFmtId="0" fontId="4" fillId="0" borderId="13" xfId="0" applyFont="1" applyBorder="1" applyAlignment="1">
      <alignment horizontal="center" vertical="center"/>
    </xf>
    <xf numFmtId="0" fontId="4" fillId="27" borderId="41" xfId="0" applyFont="1" applyFill="1" applyBorder="1" applyAlignment="1">
      <alignment vertical="center"/>
    </xf>
    <xf numFmtId="0" fontId="4" fillId="27" borderId="42" xfId="0" applyFont="1" applyFill="1" applyBorder="1" applyAlignment="1">
      <alignment vertical="center"/>
    </xf>
    <xf numFmtId="0" fontId="4" fillId="27" borderId="44" xfId="0" applyFont="1" applyFill="1" applyBorder="1" applyAlignment="1">
      <alignment vertical="center" wrapText="1"/>
    </xf>
    <xf numFmtId="2" fontId="16" fillId="0" borderId="25" xfId="0" applyNumberFormat="1" applyFont="1" applyBorder="1" applyAlignment="1">
      <alignment vertical="center"/>
    </xf>
    <xf numFmtId="2" fontId="16" fillId="0" borderId="2" xfId="0" applyNumberFormat="1" applyFont="1" applyBorder="1" applyAlignment="1">
      <alignment vertical="center"/>
    </xf>
    <xf numFmtId="2" fontId="16" fillId="0" borderId="6" xfId="0" applyNumberFormat="1" applyFont="1" applyBorder="1" applyAlignment="1">
      <alignment vertical="center"/>
    </xf>
    <xf numFmtId="0" fontId="4" fillId="27" borderId="53" xfId="0" applyFont="1" applyFill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2" fillId="18" borderId="51" xfId="0" quotePrefix="1" applyFont="1" applyFill="1" applyBorder="1" applyAlignment="1">
      <alignment horizontal="center" vertical="center"/>
    </xf>
    <xf numFmtId="0" fontId="12" fillId="18" borderId="51" xfId="0" quotePrefix="1" applyFont="1" applyFill="1" applyBorder="1" applyAlignment="1">
      <alignment vertical="center"/>
    </xf>
    <xf numFmtId="0" fontId="25" fillId="18" borderId="51" xfId="1" quotePrefix="1" applyFont="1" applyFill="1" applyBorder="1" applyAlignment="1">
      <alignment vertical="center"/>
    </xf>
    <xf numFmtId="0" fontId="27" fillId="0" borderId="0" xfId="0" applyFont="1"/>
    <xf numFmtId="0" fontId="21" fillId="22" borderId="22" xfId="0" applyFont="1" applyFill="1" applyBorder="1" applyAlignment="1">
      <alignment vertical="center" wrapText="1"/>
    </xf>
    <xf numFmtId="0" fontId="30" fillId="18" borderId="53" xfId="0" applyFont="1" applyFill="1" applyBorder="1" applyAlignment="1">
      <alignment vertical="center" wrapText="1"/>
    </xf>
    <xf numFmtId="0" fontId="9" fillId="5" borderId="28" xfId="0" applyFont="1" applyFill="1" applyBorder="1"/>
    <xf numFmtId="0" fontId="9" fillId="5" borderId="49" xfId="0" applyFont="1" applyFill="1" applyBorder="1"/>
    <xf numFmtId="2" fontId="16" fillId="0" borderId="4" xfId="0" applyNumberFormat="1" applyFont="1" applyBorder="1" applyAlignment="1">
      <alignment vertical="center"/>
    </xf>
    <xf numFmtId="2" fontId="16" fillId="0" borderId="7" xfId="0" applyNumberFormat="1" applyFont="1" applyBorder="1" applyAlignment="1">
      <alignment vertical="center"/>
    </xf>
    <xf numFmtId="0" fontId="20" fillId="0" borderId="0" xfId="0" applyFont="1" applyAlignment="1">
      <alignment vertical="center"/>
    </xf>
    <xf numFmtId="0" fontId="4" fillId="27" borderId="42" xfId="0" applyFont="1" applyFill="1" applyBorder="1" applyAlignment="1">
      <alignment vertical="center" wrapText="1"/>
    </xf>
    <xf numFmtId="0" fontId="13" fillId="17" borderId="7" xfId="0" applyFont="1" applyFill="1" applyBorder="1" applyAlignment="1">
      <alignment wrapText="1"/>
    </xf>
    <xf numFmtId="0" fontId="13" fillId="17" borderId="7" xfId="0" quotePrefix="1" applyFont="1" applyFill="1" applyBorder="1"/>
    <xf numFmtId="9" fontId="13" fillId="17" borderId="7" xfId="0" applyNumberFormat="1" applyFont="1" applyFill="1" applyBorder="1" applyAlignment="1">
      <alignment wrapText="1"/>
    </xf>
    <xf numFmtId="0" fontId="21" fillId="25" borderId="3" xfId="0" applyFont="1" applyFill="1" applyBorder="1" applyAlignment="1">
      <alignment vertical="center" wrapText="1"/>
    </xf>
    <xf numFmtId="0" fontId="32" fillId="0" borderId="0" xfId="0" applyFont="1"/>
    <xf numFmtId="0" fontId="32" fillId="0" borderId="0" xfId="0" applyFont="1" applyAlignment="1">
      <alignment wrapText="1"/>
    </xf>
    <xf numFmtId="0" fontId="32" fillId="0" borderId="0" xfId="0" applyFont="1" applyAlignment="1">
      <alignment horizontal="center"/>
    </xf>
    <xf numFmtId="0" fontId="32" fillId="0" borderId="0" xfId="0" quotePrefix="1" applyFont="1"/>
    <xf numFmtId="0" fontId="0" fillId="22" borderId="10" xfId="0" applyFill="1" applyBorder="1"/>
    <xf numFmtId="0" fontId="0" fillId="0" borderId="10" xfId="0" applyBorder="1" applyAlignment="1">
      <alignment wrapText="1"/>
    </xf>
    <xf numFmtId="0" fontId="13" fillId="20" borderId="10" xfId="0" applyFont="1" applyFill="1" applyBorder="1" applyAlignment="1">
      <alignment vertical="center"/>
    </xf>
    <xf numFmtId="0" fontId="0" fillId="0" borderId="10" xfId="0" applyBorder="1"/>
    <xf numFmtId="0" fontId="0" fillId="18" borderId="10" xfId="0" applyFill="1" applyBorder="1"/>
    <xf numFmtId="0" fontId="0" fillId="22" borderId="9" xfId="0" applyFill="1" applyBorder="1" applyAlignment="1">
      <alignment wrapText="1"/>
    </xf>
    <xf numFmtId="0" fontId="0" fillId="0" borderId="9" xfId="0" applyBorder="1" applyAlignment="1">
      <alignment wrapText="1"/>
    </xf>
    <xf numFmtId="0" fontId="13" fillId="20" borderId="9" xfId="0" applyFont="1" applyFill="1" applyBorder="1" applyAlignment="1">
      <alignment vertical="center" wrapText="1"/>
    </xf>
    <xf numFmtId="0" fontId="0" fillId="18" borderId="9" xfId="0" applyFill="1" applyBorder="1" applyAlignment="1">
      <alignment wrapText="1"/>
    </xf>
    <xf numFmtId="0" fontId="4" fillId="0" borderId="2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0" fillId="0" borderId="21" xfId="0" applyBorder="1"/>
    <xf numFmtId="0" fontId="0" fillId="0" borderId="23" xfId="0" applyBorder="1" applyAlignment="1">
      <alignment wrapText="1"/>
    </xf>
    <xf numFmtId="0" fontId="16" fillId="0" borderId="57" xfId="0" applyFont="1" applyBorder="1" applyAlignment="1">
      <alignment vertical="center"/>
    </xf>
    <xf numFmtId="0" fontId="16" fillId="0" borderId="54" xfId="0" applyFont="1" applyBorder="1" applyAlignment="1">
      <alignment vertical="center"/>
    </xf>
    <xf numFmtId="0" fontId="12" fillId="23" borderId="50" xfId="0" applyFont="1" applyFill="1" applyBorder="1" applyAlignment="1">
      <alignment horizontal="center" vertical="center" textRotation="90"/>
    </xf>
    <xf numFmtId="0" fontId="12" fillId="23" borderId="51" xfId="0" applyFont="1" applyFill="1" applyBorder="1" applyAlignment="1">
      <alignment horizontal="center" vertical="center" textRotation="90"/>
    </xf>
    <xf numFmtId="0" fontId="12" fillId="26" borderId="50" xfId="0" applyFont="1" applyFill="1" applyBorder="1" applyAlignment="1">
      <alignment horizontal="center" vertical="center" textRotation="90"/>
    </xf>
    <xf numFmtId="0" fontId="12" fillId="26" borderId="51" xfId="0" applyFont="1" applyFill="1" applyBorder="1" applyAlignment="1">
      <alignment horizontal="center" vertical="center" textRotation="90"/>
    </xf>
    <xf numFmtId="0" fontId="4" fillId="18" borderId="50" xfId="0" applyFont="1" applyFill="1" applyBorder="1" applyAlignment="1">
      <alignment horizontal="center" vertical="center" textRotation="90"/>
    </xf>
    <xf numFmtId="0" fontId="4" fillId="18" borderId="51" xfId="0" applyFont="1" applyFill="1" applyBorder="1" applyAlignment="1">
      <alignment horizontal="center" vertical="center" textRotation="90"/>
    </xf>
    <xf numFmtId="2" fontId="16" fillId="9" borderId="7" xfId="0" applyNumberFormat="1" applyFont="1" applyFill="1" applyBorder="1" applyAlignment="1">
      <alignment vertical="center" wrapText="1"/>
    </xf>
    <xf numFmtId="0" fontId="4" fillId="11" borderId="10" xfId="0" applyFont="1" applyFill="1" applyBorder="1" applyAlignment="1">
      <alignment horizontal="left" textRotation="90" wrapText="1"/>
    </xf>
    <xf numFmtId="0" fontId="26" fillId="11" borderId="22" xfId="0" applyFont="1" applyFill="1" applyBorder="1" applyAlignment="1">
      <alignment horizontal="center" vertical="center" wrapText="1"/>
    </xf>
    <xf numFmtId="0" fontId="26" fillId="11" borderId="43" xfId="0" applyFont="1" applyFill="1" applyBorder="1" applyAlignment="1">
      <alignment horizontal="center" vertical="center" wrapText="1"/>
    </xf>
    <xf numFmtId="0" fontId="16" fillId="11" borderId="35" xfId="0" applyFont="1" applyFill="1" applyBorder="1" applyAlignment="1">
      <alignment vertical="center"/>
    </xf>
    <xf numFmtId="0" fontId="16" fillId="11" borderId="10" xfId="0" applyFont="1" applyFill="1" applyBorder="1" applyAlignment="1">
      <alignment vertical="center"/>
    </xf>
    <xf numFmtId="0" fontId="16" fillId="11" borderId="22" xfId="0" applyFont="1" applyFill="1" applyBorder="1" applyAlignment="1">
      <alignment vertical="center"/>
    </xf>
    <xf numFmtId="0" fontId="21" fillId="0" borderId="7" xfId="0" applyFont="1" applyBorder="1" applyAlignment="1">
      <alignment vertical="center" wrapText="1"/>
    </xf>
    <xf numFmtId="3" fontId="0" fillId="0" borderId="0" xfId="0" applyNumberFormat="1" applyAlignment="1">
      <alignment horizontal="left" wrapText="1"/>
    </xf>
    <xf numFmtId="0" fontId="13" fillId="7" borderId="23" xfId="0" applyFont="1" applyFill="1" applyBorder="1" applyAlignment="1">
      <alignment horizontal="center" vertical="center" wrapText="1"/>
    </xf>
    <xf numFmtId="0" fontId="26" fillId="7" borderId="44" xfId="0" applyFont="1" applyFill="1" applyBorder="1" applyAlignment="1">
      <alignment horizontal="center" vertical="center" wrapText="1"/>
    </xf>
    <xf numFmtId="0" fontId="16" fillId="0" borderId="27" xfId="0" applyFont="1" applyBorder="1" applyAlignment="1">
      <alignment vertical="center"/>
    </xf>
    <xf numFmtId="0" fontId="16" fillId="0" borderId="35" xfId="0" applyFont="1" applyBorder="1" applyAlignment="1">
      <alignment vertical="center"/>
    </xf>
    <xf numFmtId="2" fontId="16" fillId="0" borderId="36" xfId="0" applyNumberFormat="1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2" fontId="16" fillId="0" borderId="9" xfId="0" applyNumberFormat="1" applyFont="1" applyBorder="1" applyAlignment="1">
      <alignment vertical="center"/>
    </xf>
    <xf numFmtId="2" fontId="16" fillId="0" borderId="23" xfId="0" applyNumberFormat="1" applyFont="1" applyBorder="1" applyAlignment="1">
      <alignment vertical="center"/>
    </xf>
    <xf numFmtId="2" fontId="16" fillId="0" borderId="17" xfId="0" applyNumberFormat="1" applyFont="1" applyBorder="1" applyAlignment="1">
      <alignment vertical="center"/>
    </xf>
    <xf numFmtId="2" fontId="16" fillId="0" borderId="3" xfId="0" applyNumberFormat="1" applyFont="1" applyBorder="1" applyAlignment="1">
      <alignment vertical="center"/>
    </xf>
    <xf numFmtId="2" fontId="16" fillId="0" borderId="13" xfId="0" applyNumberFormat="1" applyFont="1" applyBorder="1" applyAlignment="1">
      <alignment vertical="center"/>
    </xf>
    <xf numFmtId="0" fontId="8" fillId="6" borderId="5" xfId="0" applyFont="1" applyFill="1" applyBorder="1" applyAlignment="1">
      <alignment horizontal="center" vertical="center" wrapText="1"/>
    </xf>
    <xf numFmtId="0" fontId="16" fillId="0" borderId="27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6" fillId="0" borderId="59" xfId="0" applyFont="1" applyBorder="1" applyAlignment="1">
      <alignment vertical="center" wrapText="1"/>
    </xf>
    <xf numFmtId="49" fontId="8" fillId="6" borderId="22" xfId="0" applyNumberFormat="1" applyFont="1" applyFill="1" applyBorder="1" applyAlignment="1">
      <alignment horizontal="center" vertical="center" wrapText="1"/>
    </xf>
    <xf numFmtId="49" fontId="35" fillId="6" borderId="48" xfId="0" applyNumberFormat="1" applyFont="1" applyFill="1" applyBorder="1" applyAlignment="1">
      <alignment horizontal="center" vertical="center" wrapText="1"/>
    </xf>
    <xf numFmtId="2" fontId="16" fillId="3" borderId="13" xfId="0" applyNumberFormat="1" applyFont="1" applyFill="1" applyBorder="1" applyAlignment="1">
      <alignment vertical="center"/>
    </xf>
    <xf numFmtId="0" fontId="16" fillId="0" borderId="14" xfId="0" applyFont="1" applyBorder="1" applyAlignment="1">
      <alignment vertical="center"/>
    </xf>
    <xf numFmtId="2" fontId="16" fillId="0" borderId="16" xfId="0" applyNumberFormat="1" applyFont="1" applyBorder="1" applyAlignment="1">
      <alignment vertical="center"/>
    </xf>
    <xf numFmtId="0" fontId="13" fillId="0" borderId="7" xfId="0" applyFont="1" applyBorder="1" applyAlignment="1">
      <alignment horizontal="right" wrapText="1"/>
    </xf>
    <xf numFmtId="0" fontId="12" fillId="18" borderId="50" xfId="0" applyFont="1" applyFill="1" applyBorder="1" applyAlignment="1">
      <alignment vertical="center"/>
    </xf>
    <xf numFmtId="0" fontId="16" fillId="28" borderId="4" xfId="0" quotePrefix="1" applyFont="1" applyFill="1" applyBorder="1" applyAlignment="1">
      <alignment vertical="center"/>
    </xf>
    <xf numFmtId="0" fontId="13" fillId="17" borderId="7" xfId="0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/>
    </xf>
    <xf numFmtId="0" fontId="9" fillId="8" borderId="7" xfId="0" applyFont="1" applyFill="1" applyBorder="1" applyAlignment="1">
      <alignment horizontal="left" wrapText="1"/>
    </xf>
    <xf numFmtId="0" fontId="13" fillId="8" borderId="7" xfId="0" applyFont="1" applyFill="1" applyBorder="1" applyAlignment="1">
      <alignment wrapText="1"/>
    </xf>
    <xf numFmtId="9" fontId="13" fillId="8" borderId="7" xfId="0" applyNumberFormat="1" applyFont="1" applyFill="1" applyBorder="1" applyAlignment="1">
      <alignment wrapText="1"/>
    </xf>
    <xf numFmtId="0" fontId="13" fillId="8" borderId="7" xfId="0" quotePrefix="1" applyFont="1" applyFill="1" applyBorder="1"/>
    <xf numFmtId="0" fontId="9" fillId="0" borderId="7" xfId="0" quotePrefix="1" applyFont="1" applyBorder="1"/>
    <xf numFmtId="0" fontId="31" fillId="0" borderId="7" xfId="0" applyFont="1" applyBorder="1" applyAlignment="1">
      <alignment horizontal="right" wrapText="1"/>
    </xf>
    <xf numFmtId="1" fontId="32" fillId="17" borderId="7" xfId="0" applyNumberFormat="1" applyFont="1" applyFill="1" applyBorder="1" applyAlignment="1">
      <alignment horizontal="right" wrapText="1"/>
    </xf>
    <xf numFmtId="1" fontId="13" fillId="4" borderId="7" xfId="0" quotePrefix="1" applyNumberFormat="1" applyFont="1" applyFill="1" applyBorder="1"/>
    <xf numFmtId="0" fontId="11" fillId="13" borderId="7" xfId="0" applyFont="1" applyFill="1" applyBorder="1" applyAlignment="1">
      <alignment horizontal="center" vertical="center" wrapText="1"/>
    </xf>
    <xf numFmtId="0" fontId="17" fillId="0" borderId="4" xfId="1" quotePrefix="1" applyFont="1" applyFill="1" applyBorder="1" applyAlignment="1">
      <alignment vertical="center"/>
    </xf>
    <xf numFmtId="0" fontId="12" fillId="2" borderId="41" xfId="0" applyFont="1" applyFill="1" applyBorder="1" applyAlignment="1">
      <alignment horizontal="center" vertical="top"/>
    </xf>
    <xf numFmtId="0" fontId="12" fillId="2" borderId="42" xfId="0" applyFont="1" applyFill="1" applyBorder="1" applyAlignment="1">
      <alignment horizontal="center" vertical="top" wrapText="1"/>
    </xf>
    <xf numFmtId="0" fontId="30" fillId="2" borderId="44" xfId="0" applyFont="1" applyFill="1" applyBorder="1" applyAlignment="1">
      <alignment horizontal="center" vertical="top" wrapText="1"/>
    </xf>
    <xf numFmtId="0" fontId="11" fillId="13" borderId="29" xfId="0" applyFont="1" applyFill="1" applyBorder="1" applyAlignment="1">
      <alignment horizontal="center" vertical="center" wrapText="1"/>
    </xf>
    <xf numFmtId="0" fontId="11" fillId="13" borderId="21" xfId="0" applyFont="1" applyFill="1" applyBorder="1" applyAlignment="1">
      <alignment horizontal="center" vertical="center" wrapText="1"/>
    </xf>
    <xf numFmtId="0" fontId="11" fillId="13" borderId="30" xfId="0" applyFont="1" applyFill="1" applyBorder="1" applyAlignment="1">
      <alignment horizontal="center" vertical="center" wrapText="1"/>
    </xf>
    <xf numFmtId="0" fontId="11" fillId="13" borderId="22" xfId="0" applyFont="1" applyFill="1" applyBorder="1" applyAlignment="1">
      <alignment horizontal="center" vertical="center" wrapText="1"/>
    </xf>
    <xf numFmtId="9" fontId="4" fillId="17" borderId="7" xfId="0" applyNumberFormat="1" applyFont="1" applyFill="1" applyBorder="1" applyAlignment="1">
      <alignment wrapText="1"/>
    </xf>
    <xf numFmtId="0" fontId="4" fillId="17" borderId="7" xfId="0" applyFont="1" applyFill="1" applyBorder="1"/>
    <xf numFmtId="0" fontId="4" fillId="17" borderId="7" xfId="0" applyFont="1" applyFill="1" applyBorder="1" applyAlignment="1">
      <alignment wrapText="1"/>
    </xf>
    <xf numFmtId="9" fontId="13" fillId="17" borderId="10" xfId="0" applyNumberFormat="1" applyFont="1" applyFill="1" applyBorder="1" applyAlignment="1">
      <alignment wrapText="1"/>
    </xf>
    <xf numFmtId="0" fontId="13" fillId="17" borderId="7" xfId="0" applyFont="1" applyFill="1" applyBorder="1"/>
    <xf numFmtId="1" fontId="13" fillId="17" borderId="7" xfId="0" applyNumberFormat="1" applyFont="1" applyFill="1" applyBorder="1" applyAlignment="1">
      <alignment wrapText="1"/>
    </xf>
    <xf numFmtId="0" fontId="37" fillId="0" borderId="0" xfId="0" applyFont="1"/>
    <xf numFmtId="0" fontId="11" fillId="13" borderId="10" xfId="0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wrapText="1"/>
    </xf>
    <xf numFmtId="9" fontId="4" fillId="8" borderId="7" xfId="0" applyNumberFormat="1" applyFont="1" applyFill="1" applyBorder="1" applyAlignment="1">
      <alignment wrapText="1"/>
    </xf>
    <xf numFmtId="0" fontId="4" fillId="8" borderId="7" xfId="0" applyFont="1" applyFill="1" applyBorder="1"/>
    <xf numFmtId="0" fontId="4" fillId="8" borderId="7" xfId="0" applyFont="1" applyFill="1" applyBorder="1" applyAlignment="1">
      <alignment wrapText="1"/>
    </xf>
    <xf numFmtId="0" fontId="9" fillId="8" borderId="7" xfId="0" applyFont="1" applyFill="1" applyBorder="1" applyAlignment="1">
      <alignment wrapText="1"/>
    </xf>
    <xf numFmtId="0" fontId="9" fillId="8" borderId="4" xfId="0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wrapText="1"/>
    </xf>
    <xf numFmtId="0" fontId="31" fillId="0" borderId="4" xfId="0" applyFont="1" applyBorder="1" applyAlignment="1">
      <alignment horizontal="right" wrapText="1"/>
    </xf>
    <xf numFmtId="0" fontId="9" fillId="0" borderId="4" xfId="0" quotePrefix="1" applyFont="1" applyBorder="1"/>
    <xf numFmtId="0" fontId="11" fillId="13" borderId="11" xfId="0" applyFont="1" applyFill="1" applyBorder="1" applyAlignment="1">
      <alignment horizontal="center" vertical="center" wrapText="1"/>
    </xf>
    <xf numFmtId="0" fontId="11" fillId="13" borderId="11" xfId="0" applyFont="1" applyFill="1" applyBorder="1" applyAlignment="1">
      <alignment vertical="center" wrapText="1"/>
    </xf>
    <xf numFmtId="0" fontId="3" fillId="0" borderId="7" xfId="0" applyFont="1" applyBorder="1" applyAlignment="1">
      <alignment wrapText="1"/>
    </xf>
    <xf numFmtId="1" fontId="16" fillId="0" borderId="10" xfId="0" applyNumberFormat="1" applyFont="1" applyBorder="1" applyAlignment="1">
      <alignment vertical="center"/>
    </xf>
    <xf numFmtId="1" fontId="16" fillId="0" borderId="22" xfId="0" applyNumberFormat="1" applyFont="1" applyBorder="1" applyAlignment="1">
      <alignment vertical="center"/>
    </xf>
    <xf numFmtId="1" fontId="16" fillId="0" borderId="21" xfId="0" applyNumberFormat="1" applyFont="1" applyBorder="1" applyAlignment="1">
      <alignment vertical="center"/>
    </xf>
    <xf numFmtId="1" fontId="0" fillId="0" borderId="0" xfId="0" applyNumberFormat="1"/>
    <xf numFmtId="1" fontId="4" fillId="7" borderId="22" xfId="0" applyNumberFormat="1" applyFont="1" applyFill="1" applyBorder="1" applyAlignment="1">
      <alignment textRotation="90" wrapText="1"/>
    </xf>
    <xf numFmtId="1" fontId="16" fillId="0" borderId="7" xfId="0" applyNumberFormat="1" applyFont="1" applyBorder="1" applyAlignment="1">
      <alignment vertical="center"/>
    </xf>
    <xf numFmtId="1" fontId="16" fillId="0" borderId="4" xfId="0" applyNumberFormat="1" applyFont="1" applyBorder="1" applyAlignment="1">
      <alignment vertical="center"/>
    </xf>
    <xf numFmtId="1" fontId="5" fillId="0" borderId="0" xfId="0" applyNumberFormat="1" applyFont="1"/>
    <xf numFmtId="1" fontId="4" fillId="14" borderId="22" xfId="0" applyNumberFormat="1" applyFont="1" applyFill="1" applyBorder="1" applyAlignment="1">
      <alignment horizontal="center" textRotation="90" wrapText="1"/>
    </xf>
    <xf numFmtId="1" fontId="4" fillId="7" borderId="7" xfId="0" applyNumberFormat="1" applyFont="1" applyFill="1" applyBorder="1" applyAlignment="1">
      <alignment horizontal="center" textRotation="90" wrapText="1"/>
    </xf>
    <xf numFmtId="1" fontId="13" fillId="14" borderId="21" xfId="0" applyNumberFormat="1" applyFont="1" applyFill="1" applyBorder="1" applyAlignment="1">
      <alignment horizontal="center" vertical="center" wrapText="1"/>
    </xf>
    <xf numFmtId="1" fontId="13" fillId="7" borderId="13" xfId="0" applyNumberFormat="1" applyFont="1" applyFill="1" applyBorder="1" applyAlignment="1">
      <alignment horizontal="center" vertical="center" wrapText="1"/>
    </xf>
    <xf numFmtId="1" fontId="26" fillId="14" borderId="43" xfId="0" applyNumberFormat="1" applyFont="1" applyFill="1" applyBorder="1" applyAlignment="1">
      <alignment horizontal="center" vertical="center" wrapText="1"/>
    </xf>
    <xf numFmtId="1" fontId="26" fillId="7" borderId="42" xfId="0" applyNumberFormat="1" applyFont="1" applyFill="1" applyBorder="1" applyAlignment="1">
      <alignment horizontal="center" vertical="center" wrapText="1"/>
    </xf>
    <xf numFmtId="1" fontId="16" fillId="14" borderId="22" xfId="0" applyNumberFormat="1" applyFont="1" applyFill="1" applyBorder="1" applyAlignment="1">
      <alignment vertical="center"/>
    </xf>
    <xf numFmtId="1" fontId="16" fillId="8" borderId="4" xfId="0" applyNumberFormat="1" applyFont="1" applyFill="1" applyBorder="1" applyAlignment="1">
      <alignment vertical="center"/>
    </xf>
    <xf numFmtId="1" fontId="16" fillId="10" borderId="3" xfId="0" applyNumberFormat="1" applyFont="1" applyFill="1" applyBorder="1" applyAlignment="1">
      <alignment vertical="center"/>
    </xf>
    <xf numFmtId="1" fontId="16" fillId="14" borderId="10" xfId="0" applyNumberFormat="1" applyFont="1" applyFill="1" applyBorder="1" applyAlignment="1">
      <alignment vertical="center"/>
    </xf>
    <xf numFmtId="1" fontId="16" fillId="8" borderId="7" xfId="0" applyNumberFormat="1" applyFont="1" applyFill="1" applyBorder="1" applyAlignment="1">
      <alignment vertical="center"/>
    </xf>
    <xf numFmtId="1" fontId="16" fillId="10" borderId="9" xfId="0" applyNumberFormat="1" applyFont="1" applyFill="1" applyBorder="1" applyAlignment="1">
      <alignment vertical="center"/>
    </xf>
    <xf numFmtId="1" fontId="16" fillId="14" borderId="21" xfId="0" applyNumberFormat="1" applyFont="1" applyFill="1" applyBorder="1" applyAlignment="1">
      <alignment vertical="center"/>
    </xf>
    <xf numFmtId="1" fontId="16" fillId="0" borderId="13" xfId="0" applyNumberFormat="1" applyFont="1" applyBorder="1" applyAlignment="1">
      <alignment vertical="center"/>
    </xf>
    <xf numFmtId="1" fontId="16" fillId="8" borderId="13" xfId="0" applyNumberFormat="1" applyFont="1" applyFill="1" applyBorder="1" applyAlignment="1">
      <alignment vertical="center"/>
    </xf>
    <xf numFmtId="1" fontId="16" fillId="10" borderId="23" xfId="0" applyNumberFormat="1" applyFont="1" applyFill="1" applyBorder="1" applyAlignment="1">
      <alignment vertical="center"/>
    </xf>
    <xf numFmtId="1" fontId="16" fillId="14" borderId="24" xfId="0" applyNumberFormat="1" applyFont="1" applyFill="1" applyBorder="1" applyAlignment="1">
      <alignment vertical="center"/>
    </xf>
    <xf numFmtId="1" fontId="16" fillId="0" borderId="11" xfId="0" applyNumberFormat="1" applyFont="1" applyBorder="1" applyAlignment="1">
      <alignment vertical="center"/>
    </xf>
    <xf numFmtId="1" fontId="16" fillId="14" borderId="7" xfId="0" applyNumberFormat="1" applyFont="1" applyFill="1" applyBorder="1" applyAlignment="1">
      <alignment vertical="center"/>
    </xf>
    <xf numFmtId="1" fontId="6" fillId="0" borderId="0" xfId="0" applyNumberFormat="1" applyFont="1" applyAlignment="1">
      <alignment wrapText="1"/>
    </xf>
    <xf numFmtId="1" fontId="13" fillId="7" borderId="21" xfId="0" applyNumberFormat="1" applyFont="1" applyFill="1" applyBorder="1" applyAlignment="1">
      <alignment horizontal="center" vertical="center"/>
    </xf>
    <xf numFmtId="1" fontId="26" fillId="7" borderId="43" xfId="0" applyNumberFormat="1" applyFont="1" applyFill="1" applyBorder="1" applyAlignment="1">
      <alignment horizontal="center" vertical="center"/>
    </xf>
    <xf numFmtId="1" fontId="21" fillId="10" borderId="9" xfId="0" applyNumberFormat="1" applyFont="1" applyFill="1" applyBorder="1" applyAlignment="1">
      <alignment vertical="center"/>
    </xf>
    <xf numFmtId="2" fontId="16" fillId="14" borderId="11" xfId="0" applyNumberFormat="1" applyFont="1" applyFill="1" applyBorder="1" applyAlignment="1">
      <alignment vertical="center" wrapText="1"/>
    </xf>
    <xf numFmtId="0" fontId="16" fillId="6" borderId="50" xfId="0" applyFont="1" applyFill="1" applyBorder="1" applyAlignment="1">
      <alignment vertical="center"/>
    </xf>
    <xf numFmtId="0" fontId="16" fillId="6" borderId="51" xfId="0" applyFont="1" applyFill="1" applyBorder="1" applyAlignment="1">
      <alignment horizontal="center" vertical="center"/>
    </xf>
    <xf numFmtId="0" fontId="16" fillId="6" borderId="51" xfId="0" applyFont="1" applyFill="1" applyBorder="1" applyAlignment="1">
      <alignment vertical="center"/>
    </xf>
    <xf numFmtId="0" fontId="16" fillId="6" borderId="52" xfId="0" applyFont="1" applyFill="1" applyBorder="1" applyAlignment="1">
      <alignment vertical="center" wrapText="1"/>
    </xf>
    <xf numFmtId="0" fontId="16" fillId="6" borderId="51" xfId="0" applyFont="1" applyFill="1" applyBorder="1" applyAlignment="1">
      <alignment vertical="center" wrapText="1"/>
    </xf>
    <xf numFmtId="0" fontId="4" fillId="6" borderId="44" xfId="0" applyFont="1" applyFill="1" applyBorder="1" applyAlignment="1">
      <alignment vertical="center" wrapText="1"/>
    </xf>
    <xf numFmtId="0" fontId="4" fillId="6" borderId="42" xfId="0" applyFont="1" applyFill="1" applyBorder="1" applyAlignment="1">
      <alignment vertical="center" wrapText="1"/>
    </xf>
    <xf numFmtId="0" fontId="16" fillId="6" borderId="43" xfId="0" applyFont="1" applyFill="1" applyBorder="1" applyAlignment="1">
      <alignment vertical="center"/>
    </xf>
    <xf numFmtId="2" fontId="16" fillId="6" borderId="50" xfId="0" applyNumberFormat="1" applyFont="1" applyFill="1" applyBorder="1" applyAlignment="1">
      <alignment vertical="center"/>
    </xf>
    <xf numFmtId="0" fontId="16" fillId="29" borderId="51" xfId="0" applyFont="1" applyFill="1" applyBorder="1" applyAlignment="1">
      <alignment vertical="center" wrapText="1"/>
    </xf>
    <xf numFmtId="0" fontId="16" fillId="29" borderId="50" xfId="0" applyFont="1" applyFill="1" applyBorder="1" applyAlignment="1">
      <alignment vertical="center"/>
    </xf>
    <xf numFmtId="0" fontId="16" fillId="29" borderId="51" xfId="0" applyFont="1" applyFill="1" applyBorder="1" applyAlignment="1">
      <alignment horizontal="center" vertical="center"/>
    </xf>
    <xf numFmtId="0" fontId="16" fillId="29" borderId="51" xfId="0" applyFont="1" applyFill="1" applyBorder="1" applyAlignment="1">
      <alignment vertical="center"/>
    </xf>
    <xf numFmtId="0" fontId="16" fillId="29" borderId="52" xfId="0" applyFont="1" applyFill="1" applyBorder="1" applyAlignment="1">
      <alignment vertical="center" wrapText="1"/>
    </xf>
    <xf numFmtId="0" fontId="4" fillId="29" borderId="44" xfId="0" applyFont="1" applyFill="1" applyBorder="1" applyAlignment="1">
      <alignment vertical="center" wrapText="1"/>
    </xf>
    <xf numFmtId="0" fontId="4" fillId="29" borderId="42" xfId="0" applyFont="1" applyFill="1" applyBorder="1" applyAlignment="1">
      <alignment vertical="center" wrapText="1"/>
    </xf>
    <xf numFmtId="0" fontId="16" fillId="29" borderId="43" xfId="0" applyFont="1" applyFill="1" applyBorder="1" applyAlignment="1">
      <alignment vertical="center"/>
    </xf>
    <xf numFmtId="1" fontId="16" fillId="10" borderId="7" xfId="0" applyNumberFormat="1" applyFont="1" applyFill="1" applyBorder="1" applyAlignment="1">
      <alignment vertical="center"/>
    </xf>
    <xf numFmtId="0" fontId="21" fillId="0" borderId="26" xfId="0" applyFont="1" applyBorder="1" applyAlignment="1">
      <alignment vertical="center" wrapText="1"/>
    </xf>
    <xf numFmtId="0" fontId="16" fillId="11" borderId="26" xfId="0" applyFont="1" applyFill="1" applyBorder="1" applyAlignment="1">
      <alignment vertical="center"/>
    </xf>
    <xf numFmtId="1" fontId="16" fillId="0" borderId="26" xfId="0" applyNumberFormat="1" applyFont="1" applyBorder="1" applyAlignment="1">
      <alignment vertical="center"/>
    </xf>
    <xf numFmtId="1" fontId="16" fillId="14" borderId="35" xfId="0" applyNumberFormat="1" applyFont="1" applyFill="1" applyBorder="1" applyAlignment="1">
      <alignment vertical="center"/>
    </xf>
    <xf numFmtId="1" fontId="16" fillId="8" borderId="26" xfId="0" applyNumberFormat="1" applyFont="1" applyFill="1" applyBorder="1" applyAlignment="1">
      <alignment vertical="center"/>
    </xf>
    <xf numFmtId="1" fontId="16" fillId="10" borderId="36" xfId="0" applyNumberFormat="1" applyFont="1" applyFill="1" applyBorder="1" applyAlignment="1">
      <alignment vertical="center"/>
    </xf>
    <xf numFmtId="0" fontId="4" fillId="6" borderId="52" xfId="0" applyFont="1" applyFill="1" applyBorder="1" applyAlignment="1">
      <alignment vertical="center" wrapText="1"/>
    </xf>
    <xf numFmtId="0" fontId="12" fillId="6" borderId="51" xfId="0" applyFont="1" applyFill="1" applyBorder="1" applyAlignment="1">
      <alignment vertical="center"/>
    </xf>
    <xf numFmtId="0" fontId="16" fillId="6" borderId="54" xfId="0" applyFont="1" applyFill="1" applyBorder="1" applyAlignment="1">
      <alignment vertical="center" wrapText="1"/>
    </xf>
    <xf numFmtId="0" fontId="13" fillId="27" borderId="41" xfId="0" applyFont="1" applyFill="1" applyBorder="1" applyAlignment="1">
      <alignment vertical="center"/>
    </xf>
    <xf numFmtId="0" fontId="13" fillId="27" borderId="42" xfId="0" applyFont="1" applyFill="1" applyBorder="1" applyAlignment="1">
      <alignment vertical="center"/>
    </xf>
    <xf numFmtId="0" fontId="13" fillId="27" borderId="44" xfId="0" applyFont="1" applyFill="1" applyBorder="1" applyAlignment="1">
      <alignment vertical="center" wrapText="1"/>
    </xf>
    <xf numFmtId="0" fontId="3" fillId="27" borderId="42" xfId="0" applyFont="1" applyFill="1" applyBorder="1" applyAlignment="1">
      <alignment vertical="center"/>
    </xf>
    <xf numFmtId="0" fontId="3" fillId="27" borderId="33" xfId="0" applyFont="1" applyFill="1" applyBorder="1" applyAlignment="1">
      <alignment vertical="center"/>
    </xf>
    <xf numFmtId="2" fontId="16" fillId="9" borderId="13" xfId="0" applyNumberFormat="1" applyFont="1" applyFill="1" applyBorder="1" applyAlignment="1">
      <alignment vertical="center" wrapText="1"/>
    </xf>
    <xf numFmtId="0" fontId="16" fillId="26" borderId="50" xfId="0" applyFont="1" applyFill="1" applyBorder="1" applyAlignment="1">
      <alignment vertical="center"/>
    </xf>
    <xf numFmtId="0" fontId="16" fillId="26" borderId="51" xfId="0" applyFont="1" applyFill="1" applyBorder="1" applyAlignment="1">
      <alignment horizontal="center" vertical="center"/>
    </xf>
    <xf numFmtId="0" fontId="16" fillId="26" borderId="51" xfId="0" applyFont="1" applyFill="1" applyBorder="1" applyAlignment="1">
      <alignment vertical="center"/>
    </xf>
    <xf numFmtId="0" fontId="16" fillId="26" borderId="52" xfId="0" applyFont="1" applyFill="1" applyBorder="1" applyAlignment="1">
      <alignment vertical="center" wrapText="1"/>
    </xf>
    <xf numFmtId="0" fontId="16" fillId="26" borderId="51" xfId="0" applyFont="1" applyFill="1" applyBorder="1" applyAlignment="1">
      <alignment vertical="center" wrapText="1"/>
    </xf>
    <xf numFmtId="0" fontId="4" fillId="26" borderId="52" xfId="0" applyFont="1" applyFill="1" applyBorder="1" applyAlignment="1">
      <alignment vertical="center" wrapText="1"/>
    </xf>
    <xf numFmtId="0" fontId="12" fillId="26" borderId="51" xfId="0" applyFont="1" applyFill="1" applyBorder="1" applyAlignment="1">
      <alignment vertical="center"/>
    </xf>
    <xf numFmtId="2" fontId="16" fillId="26" borderId="50" xfId="0" applyNumberFormat="1" applyFont="1" applyFill="1" applyBorder="1" applyAlignment="1">
      <alignment vertical="center"/>
    </xf>
    <xf numFmtId="0" fontId="16" fillId="26" borderId="54" xfId="0" applyFont="1" applyFill="1" applyBorder="1" applyAlignment="1">
      <alignment vertical="center" wrapText="1"/>
    </xf>
    <xf numFmtId="0" fontId="16" fillId="30" borderId="50" xfId="0" applyFont="1" applyFill="1" applyBorder="1" applyAlignment="1">
      <alignment vertical="center"/>
    </xf>
    <xf numFmtId="0" fontId="16" fillId="30" borderId="51" xfId="0" applyFont="1" applyFill="1" applyBorder="1" applyAlignment="1">
      <alignment horizontal="center" vertical="center"/>
    </xf>
    <xf numFmtId="0" fontId="16" fillId="30" borderId="51" xfId="0" applyFont="1" applyFill="1" applyBorder="1" applyAlignment="1">
      <alignment vertical="center"/>
    </xf>
    <xf numFmtId="0" fontId="16" fillId="30" borderId="52" xfId="0" applyFont="1" applyFill="1" applyBorder="1" applyAlignment="1">
      <alignment vertical="center" wrapText="1"/>
    </xf>
    <xf numFmtId="0" fontId="16" fillId="30" borderId="51" xfId="0" applyFont="1" applyFill="1" applyBorder="1" applyAlignment="1">
      <alignment vertical="center" wrapText="1"/>
    </xf>
    <xf numFmtId="0" fontId="4" fillId="30" borderId="52" xfId="0" applyFont="1" applyFill="1" applyBorder="1" applyAlignment="1">
      <alignment vertical="center" wrapText="1"/>
    </xf>
    <xf numFmtId="0" fontId="12" fillId="30" borderId="51" xfId="0" applyFont="1" applyFill="1" applyBorder="1" applyAlignment="1">
      <alignment vertical="center"/>
    </xf>
    <xf numFmtId="2" fontId="16" fillId="30" borderId="50" xfId="0" applyNumberFormat="1" applyFont="1" applyFill="1" applyBorder="1" applyAlignment="1">
      <alignment vertical="center"/>
    </xf>
    <xf numFmtId="0" fontId="16" fillId="30" borderId="54" xfId="0" applyFont="1" applyFill="1" applyBorder="1" applyAlignment="1">
      <alignment vertical="center" wrapText="1"/>
    </xf>
    <xf numFmtId="1" fontId="12" fillId="26" borderId="51" xfId="0" applyNumberFormat="1" applyFont="1" applyFill="1" applyBorder="1" applyAlignment="1">
      <alignment vertical="center"/>
    </xf>
    <xf numFmtId="1" fontId="13" fillId="0" borderId="7" xfId="0" quotePrefix="1" applyNumberFormat="1" applyFont="1" applyBorder="1"/>
    <xf numFmtId="1" fontId="31" fillId="17" borderId="7" xfId="0" applyNumberFormat="1" applyFont="1" applyFill="1" applyBorder="1" applyAlignment="1">
      <alignment horizontal="right" wrapText="1"/>
    </xf>
    <xf numFmtId="0" fontId="13" fillId="31" borderId="7" xfId="0" applyFont="1" applyFill="1" applyBorder="1" applyAlignment="1">
      <alignment wrapText="1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" fontId="16" fillId="21" borderId="4" xfId="0" quotePrefix="1" applyNumberFormat="1" applyFont="1" applyFill="1" applyBorder="1" applyAlignment="1">
      <alignment vertical="center"/>
    </xf>
    <xf numFmtId="0" fontId="16" fillId="11" borderId="11" xfId="0" quotePrefix="1" applyFont="1" applyFill="1" applyBorder="1" applyAlignment="1">
      <alignment vertical="center"/>
    </xf>
    <xf numFmtId="0" fontId="16" fillId="10" borderId="11" xfId="0" quotePrefix="1" applyFont="1" applyFill="1" applyBorder="1" applyAlignment="1">
      <alignment vertical="center"/>
    </xf>
    <xf numFmtId="0" fontId="16" fillId="12" borderId="11" xfId="0" quotePrefix="1" applyFont="1" applyFill="1" applyBorder="1" applyAlignment="1">
      <alignment vertical="center"/>
    </xf>
    <xf numFmtId="0" fontId="16" fillId="21" borderId="11" xfId="0" quotePrefix="1" applyFont="1" applyFill="1" applyBorder="1" applyAlignment="1">
      <alignment vertical="center"/>
    </xf>
    <xf numFmtId="0" fontId="16" fillId="28" borderId="11" xfId="0" quotePrefix="1" applyFont="1" applyFill="1" applyBorder="1" applyAlignment="1">
      <alignment vertical="center"/>
    </xf>
    <xf numFmtId="0" fontId="17" fillId="0" borderId="11" xfId="1" quotePrefix="1" applyFont="1" applyFill="1" applyBorder="1" applyAlignment="1">
      <alignment vertical="center"/>
    </xf>
    <xf numFmtId="0" fontId="16" fillId="0" borderId="11" xfId="0" quotePrefix="1" applyFont="1" applyBorder="1" applyAlignment="1">
      <alignment vertical="center"/>
    </xf>
    <xf numFmtId="0" fontId="21" fillId="22" borderId="24" xfId="0" applyFont="1" applyFill="1" applyBorder="1" applyAlignment="1">
      <alignment vertical="center" wrapText="1"/>
    </xf>
    <xf numFmtId="0" fontId="29" fillId="20" borderId="11" xfId="0" applyFont="1" applyFill="1" applyBorder="1" applyAlignment="1">
      <alignment vertical="center" wrapText="1"/>
    </xf>
    <xf numFmtId="0" fontId="21" fillId="25" borderId="17" xfId="0" applyFont="1" applyFill="1" applyBorder="1" applyAlignment="1">
      <alignment vertical="center" wrapText="1"/>
    </xf>
    <xf numFmtId="0" fontId="16" fillId="11" borderId="13" xfId="0" quotePrefix="1" applyFont="1" applyFill="1" applyBorder="1" applyAlignment="1">
      <alignment vertical="center"/>
    </xf>
    <xf numFmtId="0" fontId="16" fillId="10" borderId="13" xfId="0" quotePrefix="1" applyFont="1" applyFill="1" applyBorder="1" applyAlignment="1">
      <alignment vertical="center"/>
    </xf>
    <xf numFmtId="0" fontId="16" fillId="12" borderId="13" xfId="0" quotePrefix="1" applyFont="1" applyFill="1" applyBorder="1" applyAlignment="1">
      <alignment vertical="center"/>
    </xf>
    <xf numFmtId="0" fontId="16" fillId="21" borderId="13" xfId="0" quotePrefix="1" applyFont="1" applyFill="1" applyBorder="1" applyAlignment="1">
      <alignment vertical="center"/>
    </xf>
    <xf numFmtId="0" fontId="16" fillId="28" borderId="13" xfId="0" quotePrefix="1" applyFont="1" applyFill="1" applyBorder="1" applyAlignment="1">
      <alignment vertical="center"/>
    </xf>
    <xf numFmtId="0" fontId="17" fillId="0" borderId="13" xfId="1" quotePrefix="1" applyFont="1" applyFill="1" applyBorder="1" applyAlignment="1">
      <alignment vertical="center"/>
    </xf>
    <xf numFmtId="0" fontId="16" fillId="0" borderId="13" xfId="0" quotePrefix="1" applyFont="1" applyBorder="1" applyAlignment="1">
      <alignment vertical="center"/>
    </xf>
    <xf numFmtId="0" fontId="16" fillId="11" borderId="7" xfId="0" quotePrefix="1" applyFont="1" applyFill="1" applyBorder="1" applyAlignment="1">
      <alignment vertical="center"/>
    </xf>
    <xf numFmtId="0" fontId="16" fillId="10" borderId="7" xfId="0" quotePrefix="1" applyFont="1" applyFill="1" applyBorder="1" applyAlignment="1">
      <alignment vertical="center"/>
    </xf>
    <xf numFmtId="0" fontId="16" fillId="12" borderId="7" xfId="0" quotePrefix="1" applyFont="1" applyFill="1" applyBorder="1" applyAlignment="1">
      <alignment vertical="center"/>
    </xf>
    <xf numFmtId="0" fontId="16" fillId="21" borderId="7" xfId="0" quotePrefix="1" applyFont="1" applyFill="1" applyBorder="1" applyAlignment="1">
      <alignment vertical="center"/>
    </xf>
    <xf numFmtId="0" fontId="16" fillId="28" borderId="7" xfId="0" quotePrefix="1" applyFont="1" applyFill="1" applyBorder="1" applyAlignment="1">
      <alignment vertical="center"/>
    </xf>
    <xf numFmtId="0" fontId="17" fillId="0" borderId="7" xfId="1" quotePrefix="1" applyFont="1" applyFill="1" applyBorder="1" applyAlignment="1">
      <alignment vertical="center"/>
    </xf>
    <xf numFmtId="0" fontId="16" fillId="0" borderId="7" xfId="0" quotePrefix="1" applyFont="1" applyBorder="1" applyAlignment="1">
      <alignment vertical="center"/>
    </xf>
    <xf numFmtId="0" fontId="16" fillId="11" borderId="1" xfId="0" quotePrefix="1" applyFont="1" applyFill="1" applyBorder="1" applyAlignment="1">
      <alignment vertical="center"/>
    </xf>
    <xf numFmtId="0" fontId="16" fillId="10" borderId="1" xfId="0" quotePrefix="1" applyFont="1" applyFill="1" applyBorder="1" applyAlignment="1">
      <alignment vertical="center"/>
    </xf>
    <xf numFmtId="0" fontId="16" fillId="12" borderId="1" xfId="0" quotePrefix="1" applyFont="1" applyFill="1" applyBorder="1" applyAlignment="1">
      <alignment vertical="center"/>
    </xf>
    <xf numFmtId="0" fontId="16" fillId="21" borderId="1" xfId="0" quotePrefix="1" applyFont="1" applyFill="1" applyBorder="1" applyAlignment="1">
      <alignment vertical="center"/>
    </xf>
    <xf numFmtId="0" fontId="16" fillId="28" borderId="1" xfId="0" quotePrefix="1" applyFont="1" applyFill="1" applyBorder="1" applyAlignment="1">
      <alignment vertical="center"/>
    </xf>
    <xf numFmtId="0" fontId="17" fillId="0" borderId="1" xfId="1" quotePrefix="1" applyFont="1" applyFill="1" applyBorder="1" applyAlignment="1">
      <alignment vertical="center"/>
    </xf>
    <xf numFmtId="0" fontId="16" fillId="0" borderId="1" xfId="0" quotePrefix="1" applyFont="1" applyBorder="1" applyAlignment="1">
      <alignment vertical="center"/>
    </xf>
    <xf numFmtId="0" fontId="21" fillId="22" borderId="48" xfId="0" applyFont="1" applyFill="1" applyBorder="1" applyAlignment="1">
      <alignment vertical="center" wrapText="1"/>
    </xf>
    <xf numFmtId="0" fontId="29" fillId="20" borderId="1" xfId="0" applyFont="1" applyFill="1" applyBorder="1" applyAlignment="1">
      <alignment vertical="center" wrapText="1"/>
    </xf>
    <xf numFmtId="0" fontId="21" fillId="25" borderId="45" xfId="0" applyFont="1" applyFill="1" applyBorder="1" applyAlignment="1">
      <alignment vertical="center" wrapText="1"/>
    </xf>
    <xf numFmtId="0" fontId="21" fillId="22" borderId="7" xfId="0" applyFont="1" applyFill="1" applyBorder="1" applyAlignment="1">
      <alignment vertical="center" wrapText="1"/>
    </xf>
    <xf numFmtId="0" fontId="29" fillId="20" borderId="7" xfId="0" applyFont="1" applyFill="1" applyBorder="1" applyAlignment="1">
      <alignment vertical="center" wrapText="1"/>
    </xf>
    <xf numFmtId="0" fontId="4" fillId="26" borderId="44" xfId="0" applyFont="1" applyFill="1" applyBorder="1" applyAlignment="1">
      <alignment vertical="center" wrapText="1"/>
    </xf>
    <xf numFmtId="0" fontId="4" fillId="26" borderId="42" xfId="0" applyFont="1" applyFill="1" applyBorder="1" applyAlignment="1">
      <alignment vertical="center" wrapText="1"/>
    </xf>
    <xf numFmtId="0" fontId="16" fillId="26" borderId="43" xfId="0" applyFont="1" applyFill="1" applyBorder="1" applyAlignment="1">
      <alignment vertical="center"/>
    </xf>
    <xf numFmtId="0" fontId="21" fillId="25" borderId="9" xfId="0" applyFont="1" applyFill="1" applyBorder="1" applyAlignment="1">
      <alignment vertical="center" wrapText="1"/>
    </xf>
    <xf numFmtId="0" fontId="4" fillId="30" borderId="44" xfId="0" applyFont="1" applyFill="1" applyBorder="1" applyAlignment="1">
      <alignment vertical="center" wrapText="1"/>
    </xf>
    <xf numFmtId="0" fontId="4" fillId="30" borderId="42" xfId="0" applyFont="1" applyFill="1" applyBorder="1" applyAlignment="1">
      <alignment vertical="center" wrapText="1"/>
    </xf>
    <xf numFmtId="0" fontId="16" fillId="30" borderId="43" xfId="0" applyFont="1" applyFill="1" applyBorder="1" applyAlignment="1">
      <alignment vertical="center"/>
    </xf>
    <xf numFmtId="0" fontId="16" fillId="30" borderId="41" xfId="0" applyFont="1" applyFill="1" applyBorder="1" applyAlignment="1">
      <alignment vertical="center"/>
    </xf>
    <xf numFmtId="0" fontId="16" fillId="30" borderId="42" xfId="0" applyFont="1" applyFill="1" applyBorder="1" applyAlignment="1">
      <alignment horizontal="center" vertical="center"/>
    </xf>
    <xf numFmtId="0" fontId="16" fillId="30" borderId="42" xfId="0" applyFont="1" applyFill="1" applyBorder="1" applyAlignment="1">
      <alignment vertical="center"/>
    </xf>
    <xf numFmtId="0" fontId="16" fillId="30" borderId="44" xfId="0" applyFont="1" applyFill="1" applyBorder="1" applyAlignment="1">
      <alignment vertical="center" wrapText="1"/>
    </xf>
    <xf numFmtId="0" fontId="16" fillId="30" borderId="42" xfId="0" applyFont="1" applyFill="1" applyBorder="1" applyAlignment="1">
      <alignment vertical="center" wrapText="1"/>
    </xf>
    <xf numFmtId="0" fontId="21" fillId="22" borderId="11" xfId="0" applyFont="1" applyFill="1" applyBorder="1" applyAlignment="1">
      <alignment vertical="center" wrapText="1"/>
    </xf>
    <xf numFmtId="0" fontId="21" fillId="25" borderId="12" xfId="0" applyFont="1" applyFill="1" applyBorder="1" applyAlignment="1">
      <alignment vertical="center" wrapText="1"/>
    </xf>
    <xf numFmtId="0" fontId="16" fillId="26" borderId="41" xfId="0" applyFont="1" applyFill="1" applyBorder="1" applyAlignment="1">
      <alignment vertical="center"/>
    </xf>
    <xf numFmtId="0" fontId="16" fillId="26" borderId="42" xfId="0" applyFont="1" applyFill="1" applyBorder="1" applyAlignment="1">
      <alignment horizontal="center" vertical="center"/>
    </xf>
    <xf numFmtId="0" fontId="16" fillId="26" borderId="42" xfId="0" applyFont="1" applyFill="1" applyBorder="1" applyAlignment="1">
      <alignment vertical="center"/>
    </xf>
    <xf numFmtId="0" fontId="16" fillId="26" borderId="44" xfId="0" applyFont="1" applyFill="1" applyBorder="1" applyAlignment="1">
      <alignment vertical="center" wrapText="1"/>
    </xf>
    <xf numFmtId="0" fontId="16" fillId="26" borderId="42" xfId="0" applyFont="1" applyFill="1" applyBorder="1" applyAlignment="1">
      <alignment vertical="center" wrapText="1"/>
    </xf>
    <xf numFmtId="0" fontId="16" fillId="0" borderId="11" xfId="0" quotePrefix="1" applyFont="1" applyBorder="1" applyAlignment="1">
      <alignment horizontal="center" vertical="center"/>
    </xf>
    <xf numFmtId="0" fontId="4" fillId="28" borderId="7" xfId="0" applyFont="1" applyFill="1" applyBorder="1" applyAlignment="1">
      <alignment horizontal="center" textRotation="90" wrapText="1"/>
    </xf>
    <xf numFmtId="0" fontId="26" fillId="28" borderId="22" xfId="0" applyFont="1" applyFill="1" applyBorder="1" applyAlignment="1">
      <alignment horizontal="center" vertical="center" wrapText="1"/>
    </xf>
    <xf numFmtId="0" fontId="26" fillId="28" borderId="43" xfId="0" applyFont="1" applyFill="1" applyBorder="1" applyAlignment="1">
      <alignment horizontal="center" vertical="center" wrapText="1"/>
    </xf>
    <xf numFmtId="0" fontId="16" fillId="28" borderId="35" xfId="0" applyFont="1" applyFill="1" applyBorder="1" applyAlignment="1">
      <alignment vertical="center"/>
    </xf>
    <xf numFmtId="0" fontId="16" fillId="28" borderId="10" xfId="0" applyFont="1" applyFill="1" applyBorder="1" applyAlignment="1">
      <alignment vertical="center"/>
    </xf>
    <xf numFmtId="0" fontId="13" fillId="28" borderId="4" xfId="0" applyFont="1" applyFill="1" applyBorder="1" applyAlignment="1">
      <alignment horizontal="center" vertical="center" wrapText="1"/>
    </xf>
    <xf numFmtId="0" fontId="26" fillId="28" borderId="42" xfId="0" applyFont="1" applyFill="1" applyBorder="1" applyAlignment="1">
      <alignment horizontal="center" vertical="center" wrapText="1"/>
    </xf>
    <xf numFmtId="0" fontId="16" fillId="28" borderId="27" xfId="0" applyFont="1" applyFill="1" applyBorder="1" applyAlignment="1">
      <alignment vertical="center"/>
    </xf>
    <xf numFmtId="0" fontId="16" fillId="28" borderId="8" xfId="0" applyFont="1" applyFill="1" applyBorder="1" applyAlignment="1">
      <alignment vertical="center"/>
    </xf>
    <xf numFmtId="0" fontId="16" fillId="28" borderId="12" xfId="0" applyFont="1" applyFill="1" applyBorder="1" applyAlignment="1">
      <alignment vertical="center"/>
    </xf>
    <xf numFmtId="0" fontId="16" fillId="28" borderId="22" xfId="0" applyFont="1" applyFill="1" applyBorder="1" applyAlignment="1">
      <alignment vertical="center"/>
    </xf>
    <xf numFmtId="0" fontId="16" fillId="28" borderId="5" xfId="0" applyFont="1" applyFill="1" applyBorder="1" applyAlignment="1">
      <alignment vertical="center"/>
    </xf>
    <xf numFmtId="0" fontId="16" fillId="28" borderId="14" xfId="0" applyFont="1" applyFill="1" applyBorder="1" applyAlignment="1">
      <alignment vertical="center"/>
    </xf>
    <xf numFmtId="0" fontId="16" fillId="28" borderId="7" xfId="0" applyFont="1" applyFill="1" applyBorder="1" applyAlignment="1">
      <alignment vertical="center"/>
    </xf>
    <xf numFmtId="0" fontId="16" fillId="28" borderId="13" xfId="0" applyFont="1" applyFill="1" applyBorder="1" applyAlignment="1">
      <alignment vertical="center"/>
    </xf>
    <xf numFmtId="0" fontId="16" fillId="28" borderId="36" xfId="0" applyFont="1" applyFill="1" applyBorder="1" applyAlignment="1">
      <alignment vertical="center"/>
    </xf>
    <xf numFmtId="0" fontId="16" fillId="28" borderId="9" xfId="0" applyFont="1" applyFill="1" applyBorder="1" applyAlignment="1">
      <alignment vertical="center"/>
    </xf>
    <xf numFmtId="0" fontId="16" fillId="28" borderId="3" xfId="0" applyFont="1" applyFill="1" applyBorder="1" applyAlignment="1">
      <alignment vertical="center"/>
    </xf>
    <xf numFmtId="0" fontId="13" fillId="28" borderId="3" xfId="0" applyFont="1" applyFill="1" applyBorder="1" applyAlignment="1">
      <alignment horizontal="center" vertical="center" wrapText="1"/>
    </xf>
    <xf numFmtId="0" fontId="26" fillId="28" borderId="44" xfId="0" applyFont="1" applyFill="1" applyBorder="1" applyAlignment="1">
      <alignment horizontal="center" vertical="center" wrapText="1"/>
    </xf>
    <xf numFmtId="0" fontId="0" fillId="32" borderId="0" xfId="0" applyFill="1" applyAlignment="1">
      <alignment wrapText="1"/>
    </xf>
    <xf numFmtId="0" fontId="0" fillId="32" borderId="0" xfId="0" applyFill="1"/>
    <xf numFmtId="0" fontId="0" fillId="32" borderId="0" xfId="0" applyFill="1" applyAlignment="1">
      <alignment horizontal="center" vertical="center"/>
    </xf>
    <xf numFmtId="0" fontId="0" fillId="17" borderId="7" xfId="0" applyFill="1" applyBorder="1"/>
    <xf numFmtId="9" fontId="13" fillId="31" borderId="7" xfId="0" applyNumberFormat="1" applyFont="1" applyFill="1" applyBorder="1" applyAlignment="1">
      <alignment wrapText="1"/>
    </xf>
    <xf numFmtId="0" fontId="13" fillId="31" borderId="7" xfId="0" quotePrefix="1" applyFont="1" applyFill="1" applyBorder="1"/>
    <xf numFmtId="0" fontId="0" fillId="31" borderId="7" xfId="0" applyFill="1" applyBorder="1"/>
    <xf numFmtId="0" fontId="42" fillId="8" borderId="7" xfId="0" applyFont="1" applyFill="1" applyBorder="1" applyAlignment="1">
      <alignment horizontal="left" wrapText="1"/>
    </xf>
    <xf numFmtId="0" fontId="16" fillId="32" borderId="7" xfId="0" applyFont="1" applyFill="1" applyBorder="1" applyAlignment="1">
      <alignment vertical="center" wrapText="1"/>
    </xf>
    <xf numFmtId="1" fontId="16" fillId="14" borderId="4" xfId="0" applyNumberFormat="1" applyFont="1" applyFill="1" applyBorder="1" applyAlignment="1">
      <alignment vertical="center"/>
    </xf>
    <xf numFmtId="1" fontId="16" fillId="10" borderId="4" xfId="0" applyNumberFormat="1" applyFont="1" applyFill="1" applyBorder="1" applyAlignment="1">
      <alignment vertical="center"/>
    </xf>
    <xf numFmtId="1" fontId="4" fillId="17" borderId="7" xfId="0" applyNumberFormat="1" applyFont="1" applyFill="1" applyBorder="1" applyAlignment="1">
      <alignment wrapText="1"/>
    </xf>
    <xf numFmtId="0" fontId="4" fillId="17" borderId="7" xfId="0" applyFont="1" applyFill="1" applyBorder="1" applyAlignment="1">
      <alignment horizontal="center"/>
    </xf>
    <xf numFmtId="0" fontId="4" fillId="17" borderId="7" xfId="0" applyFont="1" applyFill="1" applyBorder="1" applyAlignment="1">
      <alignment horizontal="center" wrapText="1"/>
    </xf>
    <xf numFmtId="0" fontId="4" fillId="0" borderId="7" xfId="0" applyFont="1" applyBorder="1" applyAlignment="1">
      <alignment wrapText="1"/>
    </xf>
    <xf numFmtId="0" fontId="42" fillId="8" borderId="4" xfId="0" applyFont="1" applyFill="1" applyBorder="1" applyAlignment="1">
      <alignment horizontal="left" wrapText="1"/>
    </xf>
    <xf numFmtId="0" fontId="42" fillId="8" borderId="9" xfId="0" applyFont="1" applyFill="1" applyBorder="1" applyAlignment="1">
      <alignment wrapText="1"/>
    </xf>
    <xf numFmtId="2" fontId="37" fillId="0" borderId="0" xfId="0" applyNumberFormat="1" applyFont="1"/>
    <xf numFmtId="0" fontId="39" fillId="8" borderId="7" xfId="0" applyFont="1" applyFill="1" applyBorder="1" applyAlignment="1">
      <alignment wrapText="1"/>
    </xf>
    <xf numFmtId="0" fontId="13" fillId="8" borderId="7" xfId="0" applyFont="1" applyFill="1" applyBorder="1"/>
    <xf numFmtId="0" fontId="40" fillId="8" borderId="7" xfId="0" applyFont="1" applyFill="1" applyBorder="1" applyAlignment="1">
      <alignment wrapText="1"/>
    </xf>
    <xf numFmtId="0" fontId="13" fillId="17" borderId="7" xfId="0" quotePrefix="1" applyFont="1" applyFill="1" applyBorder="1" applyAlignment="1">
      <alignment horizontal="right" vertical="center"/>
    </xf>
    <xf numFmtId="0" fontId="13" fillId="17" borderId="7" xfId="0" quotePrefix="1" applyFont="1" applyFill="1" applyBorder="1" applyAlignment="1">
      <alignment horizontal="right"/>
    </xf>
    <xf numFmtId="1" fontId="13" fillId="17" borderId="7" xfId="0" quotePrefix="1" applyNumberFormat="1" applyFont="1" applyFill="1" applyBorder="1" applyAlignment="1">
      <alignment horizontal="right"/>
    </xf>
    <xf numFmtId="0" fontId="13" fillId="0" borderId="7" xfId="0" applyFont="1" applyBorder="1"/>
    <xf numFmtId="0" fontId="46" fillId="8" borderId="9" xfId="0" applyFont="1" applyFill="1" applyBorder="1" applyAlignment="1">
      <alignment wrapText="1"/>
    </xf>
    <xf numFmtId="0" fontId="47" fillId="8" borderId="7" xfId="0" applyFont="1" applyFill="1" applyBorder="1" applyAlignment="1">
      <alignment wrapText="1"/>
    </xf>
    <xf numFmtId="0" fontId="9" fillId="0" borderId="13" xfId="0" quotePrefix="1" applyFont="1" applyBorder="1"/>
    <xf numFmtId="0" fontId="13" fillId="31" borderId="26" xfId="0" applyFont="1" applyFill="1" applyBorder="1" applyAlignment="1">
      <alignment wrapText="1"/>
    </xf>
    <xf numFmtId="0" fontId="9" fillId="0" borderId="27" xfId="0" quotePrefix="1" applyFont="1" applyBorder="1"/>
    <xf numFmtId="0" fontId="9" fillId="0" borderId="8" xfId="0" quotePrefix="1" applyFont="1" applyBorder="1"/>
    <xf numFmtId="1" fontId="13" fillId="0" borderId="0" xfId="0" applyNumberFormat="1" applyFont="1"/>
    <xf numFmtId="0" fontId="9" fillId="0" borderId="12" xfId="0" quotePrefix="1" applyFont="1" applyBorder="1"/>
    <xf numFmtId="0" fontId="9" fillId="8" borderId="13" xfId="0" applyFont="1" applyFill="1" applyBorder="1" applyAlignment="1">
      <alignment horizontal="center" vertical="center"/>
    </xf>
    <xf numFmtId="0" fontId="42" fillId="8" borderId="13" xfId="0" applyFont="1" applyFill="1" applyBorder="1" applyAlignment="1">
      <alignment horizontal="left" wrapText="1"/>
    </xf>
    <xf numFmtId="9" fontId="13" fillId="8" borderId="13" xfId="0" applyNumberFormat="1" applyFont="1" applyFill="1" applyBorder="1" applyAlignment="1">
      <alignment wrapText="1"/>
    </xf>
    <xf numFmtId="0" fontId="13" fillId="8" borderId="13" xfId="0" quotePrefix="1" applyFont="1" applyFill="1" applyBorder="1"/>
    <xf numFmtId="0" fontId="13" fillId="8" borderId="13" xfId="0" applyFont="1" applyFill="1" applyBorder="1" applyAlignment="1">
      <alignment wrapText="1"/>
    </xf>
    <xf numFmtId="0" fontId="32" fillId="17" borderId="13" xfId="0" quotePrefix="1" applyFont="1" applyFill="1" applyBorder="1" applyAlignment="1">
      <alignment horizontal="right"/>
    </xf>
    <xf numFmtId="0" fontId="9" fillId="8" borderId="25" xfId="0" applyFont="1" applyFill="1" applyBorder="1" applyAlignment="1">
      <alignment horizontal="center" vertical="center"/>
    </xf>
    <xf numFmtId="0" fontId="9" fillId="8" borderId="26" xfId="0" applyFont="1" applyFill="1" applyBorder="1" applyAlignment="1">
      <alignment horizontal="left" wrapText="1"/>
    </xf>
    <xf numFmtId="9" fontId="13" fillId="8" borderId="26" xfId="0" applyNumberFormat="1" applyFont="1" applyFill="1" applyBorder="1" applyAlignment="1">
      <alignment wrapText="1"/>
    </xf>
    <xf numFmtId="0" fontId="13" fillId="8" borderId="26" xfId="0" quotePrefix="1" applyFont="1" applyFill="1" applyBorder="1"/>
    <xf numFmtId="0" fontId="13" fillId="8" borderId="26" xfId="0" applyFont="1" applyFill="1" applyBorder="1" applyAlignment="1">
      <alignment wrapText="1"/>
    </xf>
    <xf numFmtId="1" fontId="13" fillId="17" borderId="26" xfId="0" quotePrefix="1" applyNumberFormat="1" applyFont="1" applyFill="1" applyBorder="1" applyAlignment="1">
      <alignment horizontal="right" vertical="center"/>
    </xf>
    <xf numFmtId="0" fontId="9" fillId="8" borderId="6" xfId="0" applyFont="1" applyFill="1" applyBorder="1" applyAlignment="1">
      <alignment horizontal="center" vertical="center"/>
    </xf>
    <xf numFmtId="0" fontId="9" fillId="8" borderId="60" xfId="0" applyFont="1" applyFill="1" applyBorder="1" applyAlignment="1">
      <alignment horizontal="center" vertical="center" wrapText="1"/>
    </xf>
    <xf numFmtId="0" fontId="9" fillId="8" borderId="11" xfId="0" applyFont="1" applyFill="1" applyBorder="1"/>
    <xf numFmtId="0" fontId="13" fillId="31" borderId="11" xfId="0" applyFont="1" applyFill="1" applyBorder="1" applyAlignment="1">
      <alignment wrapText="1"/>
    </xf>
    <xf numFmtId="1" fontId="13" fillId="17" borderId="11" xfId="0" quotePrefix="1" applyNumberFormat="1" applyFont="1" applyFill="1" applyBorder="1" applyAlignment="1">
      <alignment horizontal="right"/>
    </xf>
    <xf numFmtId="0" fontId="39" fillId="8" borderId="11" xfId="0" applyFont="1" applyFill="1" applyBorder="1" applyAlignment="1">
      <alignment wrapText="1"/>
    </xf>
    <xf numFmtId="0" fontId="13" fillId="8" borderId="11" xfId="0" applyFont="1" applyFill="1" applyBorder="1"/>
    <xf numFmtId="0" fontId="9" fillId="31" borderId="6" xfId="0" applyFont="1" applyFill="1" applyBorder="1" applyAlignment="1">
      <alignment horizontal="center" vertical="center" wrapText="1"/>
    </xf>
    <xf numFmtId="0" fontId="47" fillId="31" borderId="9" xfId="0" applyFont="1" applyFill="1" applyBorder="1" applyAlignment="1">
      <alignment wrapText="1"/>
    </xf>
    <xf numFmtId="0" fontId="47" fillId="8" borderId="9" xfId="0" applyFont="1" applyFill="1" applyBorder="1" applyAlignment="1">
      <alignment wrapText="1"/>
    </xf>
    <xf numFmtId="0" fontId="9" fillId="8" borderId="6" xfId="0" applyFont="1" applyFill="1" applyBorder="1" applyAlignment="1">
      <alignment horizontal="center" vertical="center" wrapText="1"/>
    </xf>
    <xf numFmtId="0" fontId="47" fillId="8" borderId="9" xfId="0" applyFont="1" applyFill="1" applyBorder="1" applyAlignment="1">
      <alignment vertical="top" wrapText="1"/>
    </xf>
    <xf numFmtId="0" fontId="0" fillId="8" borderId="6" xfId="0" applyFill="1" applyBorder="1" applyAlignment="1">
      <alignment horizontal="center"/>
    </xf>
    <xf numFmtId="0" fontId="9" fillId="8" borderId="25" xfId="0" applyFont="1" applyFill="1" applyBorder="1" applyAlignment="1">
      <alignment horizontal="center" vertical="center" wrapText="1"/>
    </xf>
    <xf numFmtId="0" fontId="46" fillId="31" borderId="9" xfId="0" applyFont="1" applyFill="1" applyBorder="1" applyAlignment="1">
      <alignment wrapText="1"/>
    </xf>
    <xf numFmtId="0" fontId="46" fillId="8" borderId="9" xfId="0" applyFont="1" applyFill="1" applyBorder="1" applyAlignment="1">
      <alignment vertical="top" wrapText="1"/>
    </xf>
    <xf numFmtId="0" fontId="0" fillId="8" borderId="6" xfId="0" applyFill="1" applyBorder="1" applyAlignment="1">
      <alignment horizontal="center" wrapText="1"/>
    </xf>
    <xf numFmtId="0" fontId="0" fillId="17" borderId="7" xfId="0" applyFill="1" applyBorder="1" applyAlignment="1">
      <alignment wrapText="1"/>
    </xf>
    <xf numFmtId="0" fontId="4" fillId="17" borderId="4" xfId="0" applyFont="1" applyFill="1" applyBorder="1" applyAlignment="1">
      <alignment horizontal="center" vertical="center" wrapText="1"/>
    </xf>
    <xf numFmtId="2" fontId="26" fillId="3" borderId="11" xfId="0" applyNumberFormat="1" applyFont="1" applyFill="1" applyBorder="1" applyAlignment="1">
      <alignment horizontal="center" vertical="center" wrapText="1"/>
    </xf>
    <xf numFmtId="0" fontId="0" fillId="33" borderId="0" xfId="0" applyFill="1" applyAlignment="1">
      <alignment horizontal="center" wrapText="1"/>
    </xf>
    <xf numFmtId="0" fontId="4" fillId="33" borderId="7" xfId="0" applyFont="1" applyFill="1" applyBorder="1" applyAlignment="1">
      <alignment wrapText="1"/>
    </xf>
    <xf numFmtId="0" fontId="4" fillId="33" borderId="31" xfId="0" applyFont="1" applyFill="1" applyBorder="1" applyAlignment="1">
      <alignment horizontal="center" wrapText="1"/>
    </xf>
    <xf numFmtId="0" fontId="4" fillId="33" borderId="7" xfId="0" applyFont="1" applyFill="1" applyBorder="1" applyAlignment="1">
      <alignment horizontal="center" wrapText="1"/>
    </xf>
    <xf numFmtId="0" fontId="0" fillId="33" borderId="1" xfId="0" applyFill="1" applyBorder="1" applyAlignment="1">
      <alignment horizontal="center" wrapText="1"/>
    </xf>
    <xf numFmtId="2" fontId="0" fillId="33" borderId="1" xfId="0" applyNumberFormat="1" applyFill="1" applyBorder="1" applyAlignment="1">
      <alignment wrapText="1"/>
    </xf>
    <xf numFmtId="0" fontId="4" fillId="32" borderId="7" xfId="0" applyFont="1" applyFill="1" applyBorder="1" applyAlignment="1">
      <alignment wrapText="1"/>
    </xf>
    <xf numFmtId="164" fontId="0" fillId="0" borderId="0" xfId="0" applyNumberFormat="1"/>
    <xf numFmtId="0" fontId="0" fillId="0" borderId="0" xfId="0" applyAlignment="1">
      <alignment vertical="center"/>
    </xf>
    <xf numFmtId="0" fontId="13" fillId="17" borderId="4" xfId="0" applyFont="1" applyFill="1" applyBorder="1" applyAlignment="1">
      <alignment horizontal="center" vertical="center" wrapText="1"/>
    </xf>
    <xf numFmtId="0" fontId="16" fillId="31" borderId="7" xfId="0" applyFont="1" applyFill="1" applyBorder="1" applyAlignment="1">
      <alignment vertical="center" wrapText="1"/>
    </xf>
    <xf numFmtId="0" fontId="21" fillId="31" borderId="7" xfId="0" applyFont="1" applyFill="1" applyBorder="1" applyAlignment="1">
      <alignment vertical="center" wrapText="1"/>
    </xf>
    <xf numFmtId="0" fontId="0" fillId="0" borderId="0" xfId="0" applyAlignment="1">
      <alignment horizontal="right" wrapText="1"/>
    </xf>
    <xf numFmtId="1" fontId="13" fillId="32" borderId="7" xfId="0" applyNumberFormat="1" applyFont="1" applyFill="1" applyBorder="1" applyAlignment="1">
      <alignment wrapText="1"/>
    </xf>
    <xf numFmtId="9" fontId="13" fillId="17" borderId="4" xfId="0" applyNumberFormat="1" applyFont="1" applyFill="1" applyBorder="1" applyAlignment="1">
      <alignment wrapText="1"/>
    </xf>
    <xf numFmtId="0" fontId="13" fillId="17" borderId="4" xfId="0" quotePrefix="1" applyFont="1" applyFill="1" applyBorder="1"/>
    <xf numFmtId="0" fontId="13" fillId="17" borderId="4" xfId="0" applyFont="1" applyFill="1" applyBorder="1" applyAlignment="1">
      <alignment wrapText="1"/>
    </xf>
    <xf numFmtId="0" fontId="0" fillId="0" borderId="4" xfId="0" quotePrefix="1" applyBorder="1"/>
    <xf numFmtId="0" fontId="13" fillId="17" borderId="11" xfId="0" applyFont="1" applyFill="1" applyBorder="1" applyAlignment="1">
      <alignment horizontal="center" vertical="center" wrapText="1"/>
    </xf>
    <xf numFmtId="9" fontId="13" fillId="17" borderId="11" xfId="0" applyNumberFormat="1" applyFont="1" applyFill="1" applyBorder="1" applyAlignment="1">
      <alignment wrapText="1"/>
    </xf>
    <xf numFmtId="0" fontId="13" fillId="17" borderId="11" xfId="0" quotePrefix="1" applyFont="1" applyFill="1" applyBorder="1"/>
    <xf numFmtId="0" fontId="13" fillId="17" borderId="11" xfId="0" applyFont="1" applyFill="1" applyBorder="1" applyAlignment="1">
      <alignment wrapText="1"/>
    </xf>
    <xf numFmtId="0" fontId="0" fillId="0" borderId="11" xfId="0" quotePrefix="1" applyBorder="1"/>
    <xf numFmtId="9" fontId="13" fillId="17" borderId="22" xfId="0" applyNumberFormat="1" applyFont="1" applyFill="1" applyBorder="1" applyAlignment="1">
      <alignment wrapText="1"/>
    </xf>
    <xf numFmtId="0" fontId="13" fillId="17" borderId="4" xfId="0" applyFont="1" applyFill="1" applyBorder="1"/>
    <xf numFmtId="1" fontId="13" fillId="17" borderId="4" xfId="0" applyNumberFormat="1" applyFont="1" applyFill="1" applyBorder="1" applyAlignment="1">
      <alignment wrapText="1"/>
    </xf>
    <xf numFmtId="0" fontId="13" fillId="17" borderId="24" xfId="0" applyFont="1" applyFill="1" applyBorder="1" applyAlignment="1">
      <alignment wrapText="1"/>
    </xf>
    <xf numFmtId="1" fontId="13" fillId="0" borderId="11" xfId="0" quotePrefix="1" applyNumberFormat="1" applyFont="1" applyBorder="1"/>
    <xf numFmtId="1" fontId="13" fillId="32" borderId="4" xfId="0" applyNumberFormat="1" applyFont="1" applyFill="1" applyBorder="1" applyAlignment="1">
      <alignment wrapText="1"/>
    </xf>
    <xf numFmtId="0" fontId="9" fillId="8" borderId="22" xfId="0" applyFont="1" applyFill="1" applyBorder="1" applyAlignment="1">
      <alignment horizontal="center" vertical="center" wrapText="1"/>
    </xf>
    <xf numFmtId="0" fontId="9" fillId="0" borderId="5" xfId="0" quotePrefix="1" applyFont="1" applyBorder="1"/>
    <xf numFmtId="0" fontId="9" fillId="8" borderId="24" xfId="0" applyFont="1" applyFill="1" applyBorder="1" applyAlignment="1">
      <alignment horizontal="center" vertical="center" wrapText="1"/>
    </xf>
    <xf numFmtId="0" fontId="46" fillId="8" borderId="17" xfId="0" applyFont="1" applyFill="1" applyBorder="1" applyAlignment="1">
      <alignment wrapText="1"/>
    </xf>
    <xf numFmtId="0" fontId="40" fillId="8" borderId="11" xfId="0" applyFont="1" applyFill="1" applyBorder="1" applyAlignment="1">
      <alignment wrapText="1"/>
    </xf>
    <xf numFmtId="0" fontId="13" fillId="8" borderId="11" xfId="0" applyFont="1" applyFill="1" applyBorder="1" applyAlignment="1">
      <alignment wrapText="1"/>
    </xf>
    <xf numFmtId="0" fontId="9" fillId="8" borderId="2" xfId="0" applyFont="1" applyFill="1" applyBorder="1" applyAlignment="1">
      <alignment horizontal="center" vertical="center" wrapText="1"/>
    </xf>
    <xf numFmtId="0" fontId="46" fillId="31" borderId="3" xfId="0" applyFont="1" applyFill="1" applyBorder="1" applyAlignment="1">
      <alignment wrapText="1"/>
    </xf>
    <xf numFmtId="0" fontId="13" fillId="31" borderId="4" xfId="0" applyFont="1" applyFill="1" applyBorder="1" applyAlignment="1">
      <alignment wrapText="1"/>
    </xf>
    <xf numFmtId="0" fontId="13" fillId="0" borderId="4" xfId="0" applyFont="1" applyBorder="1"/>
    <xf numFmtId="0" fontId="47" fillId="8" borderId="3" xfId="0" applyFont="1" applyFill="1" applyBorder="1" applyAlignment="1">
      <alignment wrapText="1"/>
    </xf>
    <xf numFmtId="0" fontId="39" fillId="8" borderId="4" xfId="0" applyFont="1" applyFill="1" applyBorder="1" applyAlignment="1">
      <alignment wrapText="1"/>
    </xf>
    <xf numFmtId="0" fontId="13" fillId="8" borderId="4" xfId="0" applyFont="1" applyFill="1" applyBorder="1"/>
    <xf numFmtId="0" fontId="47" fillId="8" borderId="17" xfId="0" applyFont="1" applyFill="1" applyBorder="1" applyAlignment="1">
      <alignment wrapText="1"/>
    </xf>
    <xf numFmtId="0" fontId="9" fillId="31" borderId="2" xfId="0" applyFont="1" applyFill="1" applyBorder="1" applyAlignment="1">
      <alignment horizontal="center" vertical="center" wrapText="1"/>
    </xf>
    <xf numFmtId="0" fontId="47" fillId="31" borderId="3" xfId="0" applyFont="1" applyFill="1" applyBorder="1" applyAlignment="1">
      <alignment wrapText="1"/>
    </xf>
    <xf numFmtId="0" fontId="9" fillId="31" borderId="7" xfId="0" applyFont="1" applyFill="1" applyBorder="1" applyAlignment="1">
      <alignment horizontal="center" vertical="center"/>
    </xf>
    <xf numFmtId="1" fontId="13" fillId="8" borderId="7" xfId="0" applyNumberFormat="1" applyFont="1" applyFill="1" applyBorder="1" applyAlignment="1">
      <alignment wrapText="1"/>
    </xf>
    <xf numFmtId="1" fontId="13" fillId="32" borderId="7" xfId="0" applyNumberFormat="1" applyFont="1" applyFill="1" applyBorder="1"/>
    <xf numFmtId="1" fontId="37" fillId="0" borderId="0" xfId="0" applyNumberFormat="1" applyFont="1"/>
    <xf numFmtId="0" fontId="37" fillId="0" borderId="0" xfId="0" quotePrefix="1" applyFont="1"/>
    <xf numFmtId="2" fontId="13" fillId="0" borderId="7" xfId="0" applyNumberFormat="1" applyFont="1" applyBorder="1"/>
    <xf numFmtId="0" fontId="46" fillId="8" borderId="36" xfId="0" applyFont="1" applyFill="1" applyBorder="1" applyAlignment="1">
      <alignment wrapText="1"/>
    </xf>
    <xf numFmtId="0" fontId="39" fillId="8" borderId="26" xfId="0" applyFont="1" applyFill="1" applyBorder="1" applyAlignment="1">
      <alignment wrapText="1"/>
    </xf>
    <xf numFmtId="0" fontId="13" fillId="8" borderId="26" xfId="0" applyFont="1" applyFill="1" applyBorder="1"/>
    <xf numFmtId="0" fontId="13" fillId="31" borderId="7" xfId="0" applyFont="1" applyFill="1" applyBorder="1"/>
    <xf numFmtId="1" fontId="13" fillId="31" borderId="7" xfId="0" applyNumberFormat="1" applyFont="1" applyFill="1" applyBorder="1" applyAlignment="1">
      <alignment wrapText="1"/>
    </xf>
    <xf numFmtId="9" fontId="4" fillId="31" borderId="7" xfId="0" applyNumberFormat="1" applyFont="1" applyFill="1" applyBorder="1" applyAlignment="1">
      <alignment wrapText="1"/>
    </xf>
    <xf numFmtId="0" fontId="4" fillId="31" borderId="7" xfId="0" applyFont="1" applyFill="1" applyBorder="1"/>
    <xf numFmtId="0" fontId="4" fillId="31" borderId="7" xfId="0" applyFont="1" applyFill="1" applyBorder="1" applyAlignment="1">
      <alignment wrapText="1"/>
    </xf>
    <xf numFmtId="9" fontId="0" fillId="0" borderId="0" xfId="0" applyNumberFormat="1"/>
    <xf numFmtId="10" fontId="0" fillId="0" borderId="0" xfId="0" applyNumberFormat="1"/>
    <xf numFmtId="0" fontId="17" fillId="15" borderId="7" xfId="1" applyNumberFormat="1" applyFont="1" applyFill="1" applyBorder="1" applyAlignment="1">
      <alignment vertical="center"/>
    </xf>
    <xf numFmtId="0" fontId="48" fillId="0" borderId="62" xfId="0" applyFont="1" applyBorder="1" applyAlignment="1">
      <alignment vertical="center" wrapText="1"/>
    </xf>
    <xf numFmtId="0" fontId="48" fillId="0" borderId="54" xfId="0" applyFont="1" applyBorder="1" applyAlignment="1">
      <alignment horizontal="center" vertical="center"/>
    </xf>
    <xf numFmtId="0" fontId="49" fillId="34" borderId="54" xfId="0" applyFont="1" applyFill="1" applyBorder="1" applyAlignment="1">
      <alignment horizontal="center" vertical="center"/>
    </xf>
    <xf numFmtId="0" fontId="48" fillId="0" borderId="63" xfId="0" applyFont="1" applyBorder="1" applyAlignment="1">
      <alignment vertical="center" wrapText="1"/>
    </xf>
    <xf numFmtId="0" fontId="48" fillId="0" borderId="49" xfId="0" applyFont="1" applyBorder="1" applyAlignment="1">
      <alignment horizontal="center" vertical="center"/>
    </xf>
    <xf numFmtId="0" fontId="49" fillId="34" borderId="49" xfId="0" applyFont="1" applyFill="1" applyBorder="1" applyAlignment="1">
      <alignment horizontal="center" vertical="center"/>
    </xf>
    <xf numFmtId="0" fontId="49" fillId="35" borderId="63" xfId="0" applyFont="1" applyFill="1" applyBorder="1" applyAlignment="1">
      <alignment vertical="center" wrapText="1"/>
    </xf>
    <xf numFmtId="0" fontId="49" fillId="36" borderId="63" xfId="0" applyFont="1" applyFill="1" applyBorder="1" applyAlignment="1">
      <alignment vertical="center" wrapText="1"/>
    </xf>
    <xf numFmtId="0" fontId="6" fillId="31" borderId="62" xfId="0" applyFont="1" applyFill="1" applyBorder="1" applyAlignment="1">
      <alignment horizontal="right" vertical="center"/>
    </xf>
    <xf numFmtId="0" fontId="48" fillId="31" borderId="54" xfId="0" applyFont="1" applyFill="1" applyBorder="1" applyAlignment="1">
      <alignment horizontal="center" vertical="center"/>
    </xf>
    <xf numFmtId="0" fontId="6" fillId="37" borderId="63" xfId="0" applyFont="1" applyFill="1" applyBorder="1" applyAlignment="1">
      <alignment horizontal="right" vertical="center"/>
    </xf>
    <xf numFmtId="0" fontId="48" fillId="37" borderId="49" xfId="0" applyFont="1" applyFill="1" applyBorder="1" applyAlignment="1">
      <alignment horizontal="center" vertical="center"/>
    </xf>
    <xf numFmtId="0" fontId="48" fillId="0" borderId="0" xfId="0" applyFont="1" applyAlignment="1">
      <alignment vertical="center" wrapText="1"/>
    </xf>
    <xf numFmtId="0" fontId="6" fillId="0" borderId="64" xfId="0" applyFont="1" applyBorder="1" applyAlignment="1">
      <alignment vertical="center" wrapText="1"/>
    </xf>
    <xf numFmtId="0" fontId="50" fillId="34" borderId="37" xfId="0" applyFont="1" applyFill="1" applyBorder="1" applyAlignment="1">
      <alignment horizontal="center" vertical="center"/>
    </xf>
    <xf numFmtId="0" fontId="6" fillId="0" borderId="63" xfId="0" applyFont="1" applyBorder="1" applyAlignment="1">
      <alignment horizontal="center" vertical="center" wrapText="1"/>
    </xf>
    <xf numFmtId="0" fontId="50" fillId="34" borderId="49" xfId="0" applyFont="1" applyFill="1" applyBorder="1" applyAlignment="1">
      <alignment horizontal="center" vertical="center"/>
    </xf>
    <xf numFmtId="0" fontId="48" fillId="0" borderId="0" xfId="0" applyFont="1" applyAlignment="1">
      <alignment wrapText="1"/>
    </xf>
    <xf numFmtId="0" fontId="48" fillId="0" borderId="64" xfId="0" applyFont="1" applyBorder="1" applyAlignment="1">
      <alignment wrapText="1"/>
    </xf>
    <xf numFmtId="0" fontId="48" fillId="0" borderId="65" xfId="0" applyFont="1" applyBorder="1" applyAlignment="1">
      <alignment wrapText="1"/>
    </xf>
    <xf numFmtId="0" fontId="48" fillId="0" borderId="63" xfId="0" applyFont="1" applyBorder="1" applyAlignment="1">
      <alignment wrapText="1"/>
    </xf>
    <xf numFmtId="0" fontId="48" fillId="0" borderId="62" xfId="0" applyFont="1" applyBorder="1" applyAlignment="1">
      <alignment wrapText="1"/>
    </xf>
    <xf numFmtId="0" fontId="48" fillId="0" borderId="37" xfId="0" applyFont="1" applyBorder="1" applyAlignment="1">
      <alignment vertical="center" wrapText="1"/>
    </xf>
    <xf numFmtId="0" fontId="48" fillId="0" borderId="66" xfId="0" applyFont="1" applyBorder="1" applyAlignment="1">
      <alignment horizontal="center" vertical="center" wrapText="1"/>
    </xf>
    <xf numFmtId="0" fontId="0" fillId="0" borderId="49" xfId="0" applyBorder="1" applyAlignment="1">
      <alignment vertical="center" wrapText="1"/>
    </xf>
    <xf numFmtId="0" fontId="48" fillId="0" borderId="49" xfId="0" applyFont="1" applyBorder="1" applyAlignment="1">
      <alignment vertical="center" wrapText="1"/>
    </xf>
    <xf numFmtId="0" fontId="49" fillId="35" borderId="49" xfId="0" applyFont="1" applyFill="1" applyBorder="1" applyAlignment="1">
      <alignment vertical="center" wrapText="1"/>
    </xf>
    <xf numFmtId="0" fontId="49" fillId="36" borderId="49" xfId="0" applyFont="1" applyFill="1" applyBorder="1" applyAlignment="1">
      <alignment vertical="center" wrapText="1"/>
    </xf>
    <xf numFmtId="0" fontId="49" fillId="34" borderId="37" xfId="0" applyFont="1" applyFill="1" applyBorder="1" applyAlignment="1">
      <alignment horizontal="center" vertical="center" wrapText="1"/>
    </xf>
    <xf numFmtId="0" fontId="48" fillId="0" borderId="37" xfId="0" applyFont="1" applyBorder="1" applyAlignment="1">
      <alignment horizontal="center" vertical="center" wrapText="1"/>
    </xf>
    <xf numFmtId="0" fontId="49" fillId="34" borderId="66" xfId="0" applyFont="1" applyFill="1" applyBorder="1" applyAlignment="1">
      <alignment horizontal="center" vertical="center" wrapText="1"/>
    </xf>
    <xf numFmtId="0" fontId="0" fillId="34" borderId="49" xfId="0" applyFill="1" applyBorder="1" applyAlignment="1">
      <alignment vertical="center" wrapText="1"/>
    </xf>
    <xf numFmtId="0" fontId="48" fillId="0" borderId="49" xfId="0" applyFont="1" applyBorder="1" applyAlignment="1">
      <alignment horizontal="center" vertical="center" wrapText="1"/>
    </xf>
    <xf numFmtId="0" fontId="48" fillId="0" borderId="63" xfId="0" applyFont="1" applyBorder="1" applyAlignment="1">
      <alignment horizontal="right" vertical="center" wrapText="1"/>
    </xf>
    <xf numFmtId="0" fontId="49" fillId="34" borderId="49" xfId="0" applyFont="1" applyFill="1" applyBorder="1" applyAlignment="1">
      <alignment horizontal="center" vertical="center" wrapText="1"/>
    </xf>
    <xf numFmtId="0" fontId="48" fillId="0" borderId="49" xfId="0" applyFont="1" applyBorder="1" applyAlignment="1">
      <alignment horizontal="right" vertical="center" wrapText="1"/>
    </xf>
    <xf numFmtId="0" fontId="48" fillId="37" borderId="49" xfId="0" applyFont="1" applyFill="1" applyBorder="1" applyAlignment="1">
      <alignment horizontal="center" vertical="center" wrapText="1"/>
    </xf>
    <xf numFmtId="0" fontId="48" fillId="37" borderId="49" xfId="0" applyFont="1" applyFill="1" applyBorder="1" applyAlignment="1">
      <alignment horizontal="right" vertical="center" wrapText="1"/>
    </xf>
    <xf numFmtId="0" fontId="48" fillId="8" borderId="49" xfId="0" applyFont="1" applyFill="1" applyBorder="1" applyAlignment="1">
      <alignment horizontal="center" vertical="center" wrapText="1"/>
    </xf>
    <xf numFmtId="0" fontId="48" fillId="8" borderId="49" xfId="0" applyFont="1" applyFill="1" applyBorder="1" applyAlignment="1">
      <alignment horizontal="right" vertical="center" wrapText="1"/>
    </xf>
    <xf numFmtId="0" fontId="16" fillId="18" borderId="7" xfId="0" applyFont="1" applyFill="1" applyBorder="1" applyAlignment="1">
      <alignment vertical="center" wrapText="1"/>
    </xf>
    <xf numFmtId="0" fontId="16" fillId="32" borderId="4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6" fillId="27" borderId="4" xfId="0" applyFont="1" applyFill="1" applyBorder="1" applyAlignment="1">
      <alignment vertical="center" wrapText="1"/>
    </xf>
    <xf numFmtId="0" fontId="12" fillId="0" borderId="7" xfId="0" applyFont="1" applyBorder="1" applyAlignment="1">
      <alignment wrapText="1"/>
    </xf>
    <xf numFmtId="0" fontId="30" fillId="0" borderId="7" xfId="0" applyFont="1" applyBorder="1"/>
    <xf numFmtId="0" fontId="4" fillId="0" borderId="13" xfId="0" applyFont="1" applyBorder="1" applyAlignment="1">
      <alignment vertical="center" wrapText="1"/>
    </xf>
    <xf numFmtId="0" fontId="4" fillId="0" borderId="13" xfId="0" applyFont="1" applyBorder="1" applyAlignment="1">
      <alignment vertical="center"/>
    </xf>
    <xf numFmtId="0" fontId="12" fillId="0" borderId="7" xfId="0" applyFont="1" applyBorder="1" applyAlignment="1">
      <alignment horizontal="right"/>
    </xf>
    <xf numFmtId="0" fontId="12" fillId="0" borderId="7" xfId="0" applyFont="1" applyBorder="1" applyAlignment="1">
      <alignment horizontal="right" vertical="center" wrapText="1"/>
    </xf>
    <xf numFmtId="0" fontId="16" fillId="29" borderId="28" xfId="0" applyFont="1" applyFill="1" applyBorder="1" applyAlignment="1">
      <alignment vertical="center"/>
    </xf>
    <xf numFmtId="0" fontId="16" fillId="6" borderId="28" xfId="0" applyFont="1" applyFill="1" applyBorder="1" applyAlignment="1">
      <alignment vertical="center"/>
    </xf>
    <xf numFmtId="0" fontId="16" fillId="26" borderId="28" xfId="0" applyFont="1" applyFill="1" applyBorder="1" applyAlignment="1">
      <alignment vertical="center"/>
    </xf>
    <xf numFmtId="0" fontId="16" fillId="30" borderId="28" xfId="0" applyFont="1" applyFill="1" applyBorder="1" applyAlignment="1">
      <alignment vertical="center"/>
    </xf>
    <xf numFmtId="0" fontId="16" fillId="29" borderId="41" xfId="0" applyFont="1" applyFill="1" applyBorder="1" applyAlignment="1">
      <alignment vertical="center"/>
    </xf>
    <xf numFmtId="0" fontId="16" fillId="29" borderId="49" xfId="0" applyFont="1" applyFill="1" applyBorder="1" applyAlignment="1">
      <alignment vertical="center"/>
    </xf>
    <xf numFmtId="0" fontId="16" fillId="6" borderId="41" xfId="0" applyFont="1" applyFill="1" applyBorder="1" applyAlignment="1">
      <alignment vertical="center"/>
    </xf>
    <xf numFmtId="0" fontId="16" fillId="6" borderId="49" xfId="0" applyFont="1" applyFill="1" applyBorder="1" applyAlignment="1">
      <alignment vertical="center"/>
    </xf>
    <xf numFmtId="0" fontId="16" fillId="26" borderId="49" xfId="0" applyFont="1" applyFill="1" applyBorder="1" applyAlignment="1">
      <alignment vertical="center"/>
    </xf>
    <xf numFmtId="0" fontId="16" fillId="30" borderId="49" xfId="0" applyFont="1" applyFill="1" applyBorder="1" applyAlignment="1">
      <alignment vertical="center"/>
    </xf>
    <xf numFmtId="0" fontId="21" fillId="18" borderId="4" xfId="0" applyFont="1" applyFill="1" applyBorder="1" applyAlignment="1">
      <alignment vertical="center" wrapText="1"/>
    </xf>
    <xf numFmtId="2" fontId="21" fillId="0" borderId="7" xfId="0" applyNumberFormat="1" applyFont="1" applyBorder="1" applyAlignment="1">
      <alignment vertical="center"/>
    </xf>
    <xf numFmtId="0" fontId="21" fillId="11" borderId="7" xfId="0" applyFont="1" applyFill="1" applyBorder="1" applyAlignment="1">
      <alignment vertical="center"/>
    </xf>
    <xf numFmtId="0" fontId="21" fillId="12" borderId="7" xfId="0" applyFont="1" applyFill="1" applyBorder="1" applyAlignment="1">
      <alignment vertical="center"/>
    </xf>
    <xf numFmtId="0" fontId="21" fillId="28" borderId="7" xfId="0" applyFont="1" applyFill="1" applyBorder="1" applyAlignment="1">
      <alignment vertical="center"/>
    </xf>
    <xf numFmtId="1" fontId="21" fillId="0" borderId="7" xfId="0" applyNumberFormat="1" applyFont="1" applyBorder="1" applyAlignment="1">
      <alignment vertical="center"/>
    </xf>
    <xf numFmtId="1" fontId="21" fillId="14" borderId="7" xfId="0" applyNumberFormat="1" applyFont="1" applyFill="1" applyBorder="1" applyAlignment="1">
      <alignment vertical="center"/>
    </xf>
    <xf numFmtId="0" fontId="0" fillId="0" borderId="0" xfId="0" applyAlignment="1">
      <alignment horizontal="right"/>
    </xf>
    <xf numFmtId="0" fontId="52" fillId="0" borderId="64" xfId="0" applyFont="1" applyBorder="1" applyAlignment="1">
      <alignment vertical="center" textRotation="90" wrapText="1"/>
    </xf>
    <xf numFmtId="0" fontId="52" fillId="38" borderId="49" xfId="0" applyFont="1" applyFill="1" applyBorder="1" applyAlignment="1">
      <alignment vertical="center" textRotation="90" wrapText="1"/>
    </xf>
    <xf numFmtId="0" fontId="52" fillId="0" borderId="63" xfId="0" applyFont="1" applyBorder="1" applyAlignment="1">
      <alignment horizontal="right" vertical="center"/>
    </xf>
    <xf numFmtId="0" fontId="53" fillId="0" borderId="49" xfId="0" applyFont="1" applyBorder="1" applyAlignment="1">
      <alignment vertical="center" wrapText="1"/>
    </xf>
    <xf numFmtId="0" fontId="52" fillId="0" borderId="49" xfId="0" applyFont="1" applyBorder="1" applyAlignment="1">
      <alignment horizontal="right" vertical="center"/>
    </xf>
    <xf numFmtId="0" fontId="52" fillId="0" borderId="49" xfId="0" applyFont="1" applyBorder="1" applyAlignment="1">
      <alignment vertical="center"/>
    </xf>
    <xf numFmtId="0" fontId="52" fillId="0" borderId="28" xfId="0" applyFont="1" applyBorder="1" applyAlignment="1">
      <alignment horizontal="right" vertical="center"/>
    </xf>
    <xf numFmtId="0" fontId="52" fillId="0" borderId="28" xfId="0" applyFont="1" applyBorder="1" applyAlignment="1">
      <alignment vertical="center"/>
    </xf>
    <xf numFmtId="0" fontId="52" fillId="0" borderId="63" xfId="0" applyFont="1" applyBorder="1" applyAlignment="1">
      <alignment vertical="center"/>
    </xf>
    <xf numFmtId="0" fontId="52" fillId="38" borderId="49" xfId="0" applyFont="1" applyFill="1" applyBorder="1" applyAlignment="1">
      <alignment horizontal="right" vertical="center"/>
    </xf>
    <xf numFmtId="0" fontId="52" fillId="0" borderId="49" xfId="0" applyFont="1" applyBorder="1" applyAlignment="1">
      <alignment vertical="center" wrapText="1"/>
    </xf>
    <xf numFmtId="0" fontId="52" fillId="39" borderId="49" xfId="0" applyFont="1" applyFill="1" applyBorder="1" applyAlignment="1">
      <alignment vertical="center" wrapText="1"/>
    </xf>
    <xf numFmtId="0" fontId="48" fillId="0" borderId="28" xfId="0" applyFont="1" applyBorder="1" applyAlignment="1">
      <alignment vertical="center" wrapText="1"/>
    </xf>
    <xf numFmtId="0" fontId="52" fillId="0" borderId="65" xfId="0" applyFont="1" applyBorder="1" applyAlignment="1">
      <alignment horizontal="right" vertical="center"/>
    </xf>
    <xf numFmtId="0" fontId="52" fillId="0" borderId="62" xfId="0" applyFont="1" applyBorder="1" applyAlignment="1">
      <alignment horizontal="right" vertical="center"/>
    </xf>
    <xf numFmtId="0" fontId="52" fillId="0" borderId="66" xfId="0" applyFont="1" applyBorder="1" applyAlignment="1">
      <alignment vertical="center"/>
    </xf>
    <xf numFmtId="0" fontId="52" fillId="0" borderId="0" xfId="0" applyFont="1" applyAlignment="1">
      <alignment horizontal="right" vertical="center"/>
    </xf>
    <xf numFmtId="0" fontId="52" fillId="0" borderId="64" xfId="0" applyFont="1" applyBorder="1" applyAlignment="1">
      <alignment vertical="center"/>
    </xf>
    <xf numFmtId="0" fontId="52" fillId="0" borderId="37" xfId="0" applyFont="1" applyBorder="1" applyAlignment="1">
      <alignment vertical="center"/>
    </xf>
    <xf numFmtId="0" fontId="48" fillId="0" borderId="49" xfId="0" applyFont="1" applyBorder="1" applyAlignment="1">
      <alignment vertical="center"/>
    </xf>
    <xf numFmtId="0" fontId="52" fillId="0" borderId="56" xfId="0" applyFont="1" applyBorder="1" applyAlignment="1">
      <alignment vertical="center"/>
    </xf>
    <xf numFmtId="0" fontId="52" fillId="0" borderId="64" xfId="0" applyFont="1" applyBorder="1" applyAlignment="1">
      <alignment horizontal="right" vertical="center"/>
    </xf>
    <xf numFmtId="0" fontId="52" fillId="0" borderId="37" xfId="0" applyFont="1" applyBorder="1" applyAlignment="1">
      <alignment horizontal="right" vertical="center"/>
    </xf>
    <xf numFmtId="0" fontId="52" fillId="0" borderId="56" xfId="0" applyFont="1" applyBorder="1" applyAlignment="1">
      <alignment horizontal="right" vertical="center"/>
    </xf>
    <xf numFmtId="0" fontId="52" fillId="0" borderId="62" xfId="0" applyFont="1" applyBorder="1" applyAlignment="1">
      <alignment vertical="center"/>
    </xf>
    <xf numFmtId="0" fontId="52" fillId="0" borderId="54" xfId="0" applyFont="1" applyBorder="1" applyAlignment="1">
      <alignment vertical="center"/>
    </xf>
    <xf numFmtId="0" fontId="52" fillId="0" borderId="57" xfId="0" applyFont="1" applyBorder="1" applyAlignment="1">
      <alignment vertical="center"/>
    </xf>
    <xf numFmtId="0" fontId="52" fillId="28" borderId="49" xfId="0" applyFont="1" applyFill="1" applyBorder="1" applyAlignment="1">
      <alignment vertical="center" wrapText="1"/>
    </xf>
    <xf numFmtId="0" fontId="53" fillId="32" borderId="49" xfId="0" applyFont="1" applyFill="1" applyBorder="1" applyAlignment="1">
      <alignment vertical="center" wrapText="1"/>
    </xf>
    <xf numFmtId="0" fontId="52" fillId="40" borderId="49" xfId="0" applyFont="1" applyFill="1" applyBorder="1" applyAlignment="1">
      <alignment vertical="center"/>
    </xf>
    <xf numFmtId="0" fontId="52" fillId="40" borderId="49" xfId="0" applyFont="1" applyFill="1" applyBorder="1" applyAlignment="1">
      <alignment horizontal="right" vertical="center"/>
    </xf>
    <xf numFmtId="0" fontId="52" fillId="40" borderId="28" xfId="0" applyFont="1" applyFill="1" applyBorder="1" applyAlignment="1">
      <alignment vertical="center"/>
    </xf>
    <xf numFmtId="0" fontId="52" fillId="40" borderId="74" xfId="0" applyFont="1" applyFill="1" applyBorder="1" applyAlignment="1">
      <alignment vertical="center"/>
    </xf>
    <xf numFmtId="0" fontId="52" fillId="40" borderId="28" xfId="0" applyFont="1" applyFill="1" applyBorder="1" applyAlignment="1">
      <alignment horizontal="right" vertical="center"/>
    </xf>
    <xf numFmtId="0" fontId="52" fillId="40" borderId="74" xfId="0" applyFont="1" applyFill="1" applyBorder="1" applyAlignment="1">
      <alignment horizontal="right" vertical="center"/>
    </xf>
    <xf numFmtId="0" fontId="0" fillId="18" borderId="0" xfId="0" applyFill="1"/>
    <xf numFmtId="0" fontId="16" fillId="0" borderId="42" xfId="0" applyFont="1" applyBorder="1" applyAlignment="1">
      <alignment horizontal="center" vertical="center"/>
    </xf>
    <xf numFmtId="0" fontId="16" fillId="0" borderId="42" xfId="0" applyFont="1" applyBorder="1" applyAlignment="1">
      <alignment vertical="center"/>
    </xf>
    <xf numFmtId="0" fontId="16" fillId="0" borderId="44" xfId="0" applyFont="1" applyBorder="1" applyAlignment="1">
      <alignment vertical="center" wrapText="1"/>
    </xf>
    <xf numFmtId="2" fontId="16" fillId="3" borderId="42" xfId="0" applyNumberFormat="1" applyFont="1" applyFill="1" applyBorder="1" applyAlignment="1">
      <alignment vertical="center"/>
    </xf>
    <xf numFmtId="2" fontId="16" fillId="9" borderId="44" xfId="0" applyNumberFormat="1" applyFont="1" applyFill="1" applyBorder="1" applyAlignment="1">
      <alignment vertical="center" wrapText="1"/>
    </xf>
    <xf numFmtId="0" fontId="16" fillId="0" borderId="12" xfId="0" applyFont="1" applyBorder="1" applyAlignment="1">
      <alignment vertical="center"/>
    </xf>
    <xf numFmtId="1" fontId="16" fillId="14" borderId="31" xfId="0" applyNumberFormat="1" applyFont="1" applyFill="1" applyBorder="1" applyAlignment="1">
      <alignment vertical="center"/>
    </xf>
    <xf numFmtId="1" fontId="16" fillId="0" borderId="25" xfId="0" applyNumberFormat="1" applyFont="1" applyBorder="1" applyAlignment="1">
      <alignment vertical="center"/>
    </xf>
    <xf numFmtId="1" fontId="16" fillId="10" borderId="27" xfId="0" applyNumberFormat="1" applyFont="1" applyFill="1" applyBorder="1" applyAlignment="1">
      <alignment vertical="center"/>
    </xf>
    <xf numFmtId="1" fontId="16" fillId="0" borderId="6" xfId="0" applyNumberFormat="1" applyFont="1" applyBorder="1" applyAlignment="1">
      <alignment vertical="center"/>
    </xf>
    <xf numFmtId="1" fontId="16" fillId="10" borderId="8" xfId="0" applyNumberFormat="1" applyFont="1" applyFill="1" applyBorder="1" applyAlignment="1">
      <alignment vertical="center"/>
    </xf>
    <xf numFmtId="1" fontId="16" fillId="10" borderId="5" xfId="0" applyNumberFormat="1" applyFont="1" applyFill="1" applyBorder="1" applyAlignment="1">
      <alignment vertical="center"/>
    </xf>
    <xf numFmtId="1" fontId="16" fillId="0" borderId="60" xfId="0" applyNumberFormat="1" applyFont="1" applyBorder="1" applyAlignment="1">
      <alignment vertical="center"/>
    </xf>
    <xf numFmtId="0" fontId="16" fillId="0" borderId="42" xfId="0" applyFont="1" applyBorder="1" applyAlignment="1">
      <alignment vertical="center" wrapText="1"/>
    </xf>
    <xf numFmtId="0" fontId="16" fillId="11" borderId="43" xfId="0" applyFont="1" applyFill="1" applyBorder="1" applyAlignment="1">
      <alignment vertical="center"/>
    </xf>
    <xf numFmtId="0" fontId="16" fillId="10" borderId="42" xfId="0" applyFont="1" applyFill="1" applyBorder="1" applyAlignment="1">
      <alignment vertical="center"/>
    </xf>
    <xf numFmtId="0" fontId="16" fillId="12" borderId="43" xfId="0" applyFont="1" applyFill="1" applyBorder="1" applyAlignment="1">
      <alignment vertical="center"/>
    </xf>
    <xf numFmtId="0" fontId="16" fillId="28" borderId="43" xfId="0" applyFont="1" applyFill="1" applyBorder="1" applyAlignment="1">
      <alignment vertical="center"/>
    </xf>
    <xf numFmtId="0" fontId="17" fillId="15" borderId="42" xfId="1" applyFont="1" applyFill="1" applyBorder="1" applyAlignment="1">
      <alignment vertical="center"/>
    </xf>
    <xf numFmtId="1" fontId="16" fillId="0" borderId="42" xfId="0" applyNumberFormat="1" applyFont="1" applyBorder="1" applyAlignment="1">
      <alignment vertical="center"/>
    </xf>
    <xf numFmtId="1" fontId="16" fillId="8" borderId="42" xfId="0" applyNumberFormat="1" applyFont="1" applyFill="1" applyBorder="1" applyAlignment="1">
      <alignment vertical="center"/>
    </xf>
    <xf numFmtId="1" fontId="16" fillId="10" borderId="33" xfId="0" applyNumberFormat="1" applyFont="1" applyFill="1" applyBorder="1" applyAlignment="1">
      <alignment vertical="center"/>
    </xf>
    <xf numFmtId="1" fontId="12" fillId="6" borderId="51" xfId="0" applyNumberFormat="1" applyFont="1" applyFill="1" applyBorder="1" applyAlignment="1">
      <alignment vertical="center"/>
    </xf>
    <xf numFmtId="0" fontId="16" fillId="6" borderId="42" xfId="0" applyFont="1" applyFill="1" applyBorder="1" applyAlignment="1">
      <alignment horizontal="center" vertical="center"/>
    </xf>
    <xf numFmtId="0" fontId="16" fillId="6" borderId="42" xfId="0" applyFont="1" applyFill="1" applyBorder="1" applyAlignment="1">
      <alignment vertical="center"/>
    </xf>
    <xf numFmtId="0" fontId="16" fillId="6" borderId="44" xfId="0" applyFont="1" applyFill="1" applyBorder="1" applyAlignment="1">
      <alignment vertical="center" wrapText="1"/>
    </xf>
    <xf numFmtId="0" fontId="16" fillId="6" borderId="42" xfId="0" applyFont="1" applyFill="1" applyBorder="1" applyAlignment="1">
      <alignment vertical="center" wrapText="1"/>
    </xf>
    <xf numFmtId="0" fontId="4" fillId="0" borderId="6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2" fillId="26" borderId="53" xfId="0" applyFont="1" applyFill="1" applyBorder="1" applyAlignment="1">
      <alignment horizontal="center" vertical="center" textRotation="90"/>
    </xf>
    <xf numFmtId="0" fontId="12" fillId="23" borderId="55" xfId="0" applyFont="1" applyFill="1" applyBorder="1" applyAlignment="1">
      <alignment horizontal="center" vertical="center" textRotation="90"/>
    </xf>
    <xf numFmtId="0" fontId="52" fillId="0" borderId="74" xfId="0" applyFont="1" applyBorder="1" applyAlignment="1">
      <alignment vertical="center"/>
    </xf>
    <xf numFmtId="0" fontId="52" fillId="0" borderId="74" xfId="0" applyFont="1" applyBorder="1" applyAlignment="1">
      <alignment horizontal="right" vertical="center"/>
    </xf>
    <xf numFmtId="0" fontId="48" fillId="21" borderId="0" xfId="0" applyFont="1" applyFill="1" applyAlignment="1">
      <alignment wrapText="1"/>
    </xf>
    <xf numFmtId="0" fontId="0" fillId="21" borderId="0" xfId="0" applyFill="1"/>
    <xf numFmtId="0" fontId="52" fillId="21" borderId="63" xfId="0" applyFont="1" applyFill="1" applyBorder="1" applyAlignment="1">
      <alignment horizontal="right" vertical="center"/>
    </xf>
    <xf numFmtId="0" fontId="48" fillId="21" borderId="28" xfId="0" applyFont="1" applyFill="1" applyBorder="1" applyAlignment="1">
      <alignment vertical="center" wrapText="1"/>
    </xf>
    <xf numFmtId="0" fontId="52" fillId="21" borderId="49" xfId="0" applyFont="1" applyFill="1" applyBorder="1" applyAlignment="1">
      <alignment vertical="center"/>
    </xf>
    <xf numFmtId="0" fontId="52" fillId="21" borderId="49" xfId="0" applyFont="1" applyFill="1" applyBorder="1" applyAlignment="1">
      <alignment horizontal="right" vertical="center"/>
    </xf>
    <xf numFmtId="0" fontId="16" fillId="0" borderId="1" xfId="0" applyFont="1" applyBorder="1" applyAlignment="1">
      <alignment vertical="center"/>
    </xf>
    <xf numFmtId="0" fontId="21" fillId="0" borderId="13" xfId="0" applyFont="1" applyBorder="1" applyAlignment="1">
      <alignment vertical="center" wrapText="1"/>
    </xf>
    <xf numFmtId="0" fontId="16" fillId="11" borderId="21" xfId="0" applyFont="1" applyFill="1" applyBorder="1" applyAlignment="1">
      <alignment vertical="center"/>
    </xf>
    <xf numFmtId="0" fontId="16" fillId="12" borderId="21" xfId="0" applyFont="1" applyFill="1" applyBorder="1" applyAlignment="1">
      <alignment vertical="center"/>
    </xf>
    <xf numFmtId="0" fontId="16" fillId="28" borderId="21" xfId="0" applyFont="1" applyFill="1" applyBorder="1" applyAlignment="1">
      <alignment vertical="center"/>
    </xf>
    <xf numFmtId="2" fontId="16" fillId="9" borderId="23" xfId="0" applyNumberFormat="1" applyFont="1" applyFill="1" applyBorder="1" applyAlignment="1">
      <alignment vertical="center" wrapText="1"/>
    </xf>
    <xf numFmtId="1" fontId="16" fillId="10" borderId="14" xfId="0" applyNumberFormat="1" applyFont="1" applyFill="1" applyBorder="1" applyAlignment="1">
      <alignment vertical="center"/>
    </xf>
    <xf numFmtId="0" fontId="4" fillId="29" borderId="52" xfId="0" applyFont="1" applyFill="1" applyBorder="1" applyAlignment="1">
      <alignment vertical="center" wrapText="1"/>
    </xf>
    <xf numFmtId="0" fontId="4" fillId="29" borderId="51" xfId="0" applyFont="1" applyFill="1" applyBorder="1" applyAlignment="1">
      <alignment vertical="center" wrapText="1"/>
    </xf>
    <xf numFmtId="0" fontId="16" fillId="29" borderId="53" xfId="0" applyFont="1" applyFill="1" applyBorder="1" applyAlignment="1">
      <alignment vertical="center"/>
    </xf>
    <xf numFmtId="2" fontId="16" fillId="29" borderId="53" xfId="0" applyNumberFormat="1" applyFont="1" applyFill="1" applyBorder="1" applyAlignment="1">
      <alignment vertical="center"/>
    </xf>
    <xf numFmtId="1" fontId="16" fillId="29" borderId="53" xfId="0" applyNumberFormat="1" applyFont="1" applyFill="1" applyBorder="1" applyAlignment="1">
      <alignment vertical="center"/>
    </xf>
    <xf numFmtId="2" fontId="16" fillId="29" borderId="50" xfId="0" applyNumberFormat="1" applyFont="1" applyFill="1" applyBorder="1" applyAlignment="1">
      <alignment vertical="center"/>
    </xf>
    <xf numFmtId="0" fontId="16" fillId="29" borderId="55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16" fillId="18" borderId="50" xfId="0" applyFont="1" applyFill="1" applyBorder="1" applyAlignment="1">
      <alignment vertical="center"/>
    </xf>
    <xf numFmtId="0" fontId="16" fillId="18" borderId="51" xfId="0" applyFont="1" applyFill="1" applyBorder="1" applyAlignment="1">
      <alignment horizontal="center" vertical="center"/>
    </xf>
    <xf numFmtId="0" fontId="16" fillId="18" borderId="51" xfId="0" applyFont="1" applyFill="1" applyBorder="1" applyAlignment="1">
      <alignment vertical="center"/>
    </xf>
    <xf numFmtId="0" fontId="16" fillId="18" borderId="52" xfId="0" applyFont="1" applyFill="1" applyBorder="1" applyAlignment="1">
      <alignment vertical="center" wrapText="1"/>
    </xf>
    <xf numFmtId="0" fontId="16" fillId="18" borderId="51" xfId="0" applyFont="1" applyFill="1" applyBorder="1" applyAlignment="1">
      <alignment vertical="center" wrapText="1"/>
    </xf>
    <xf numFmtId="0" fontId="4" fillId="18" borderId="52" xfId="0" applyFont="1" applyFill="1" applyBorder="1" applyAlignment="1">
      <alignment vertical="center" wrapText="1"/>
    </xf>
    <xf numFmtId="0" fontId="4" fillId="18" borderId="51" xfId="0" applyFont="1" applyFill="1" applyBorder="1" applyAlignment="1">
      <alignment vertical="center" wrapText="1"/>
    </xf>
    <xf numFmtId="0" fontId="16" fillId="18" borderId="53" xfId="0" applyFont="1" applyFill="1" applyBorder="1" applyAlignment="1">
      <alignment vertical="center"/>
    </xf>
    <xf numFmtId="2" fontId="16" fillId="18" borderId="50" xfId="0" applyNumberFormat="1" applyFont="1" applyFill="1" applyBorder="1" applyAlignment="1">
      <alignment vertical="center"/>
    </xf>
    <xf numFmtId="0" fontId="16" fillId="18" borderId="55" xfId="0" applyFont="1" applyFill="1" applyBorder="1" applyAlignment="1">
      <alignment vertical="center" wrapText="1"/>
    </xf>
    <xf numFmtId="1" fontId="16" fillId="0" borderId="35" xfId="0" applyNumberFormat="1" applyFont="1" applyBorder="1" applyAlignment="1">
      <alignment vertical="center"/>
    </xf>
    <xf numFmtId="1" fontId="16" fillId="14" borderId="26" xfId="0" applyNumberFormat="1" applyFont="1" applyFill="1" applyBorder="1" applyAlignment="1">
      <alignment vertical="center"/>
    </xf>
    <xf numFmtId="1" fontId="16" fillId="14" borderId="42" xfId="0" applyNumberFormat="1" applyFont="1" applyFill="1" applyBorder="1" applyAlignment="1">
      <alignment vertical="center"/>
    </xf>
    <xf numFmtId="0" fontId="0" fillId="0" borderId="30" xfId="0" applyBorder="1"/>
    <xf numFmtId="0" fontId="4" fillId="0" borderId="41" xfId="0" applyFont="1" applyBorder="1" applyAlignment="1">
      <alignment horizontal="center" vertical="center"/>
    </xf>
    <xf numFmtId="0" fontId="16" fillId="0" borderId="30" xfId="0" applyFont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1" fontId="0" fillId="0" borderId="7" xfId="0" applyNumberFormat="1" applyBorder="1"/>
    <xf numFmtId="1" fontId="4" fillId="0" borderId="7" xfId="0" applyNumberFormat="1" applyFont="1" applyBorder="1"/>
    <xf numFmtId="0" fontId="54" fillId="34" borderId="49" xfId="0" applyFont="1" applyFill="1" applyBorder="1" applyAlignment="1">
      <alignment vertical="center" textRotation="90" wrapText="1"/>
    </xf>
    <xf numFmtId="0" fontId="52" fillId="0" borderId="28" xfId="0" applyFont="1" applyBorder="1" applyAlignment="1">
      <alignment vertical="center" wrapText="1"/>
    </xf>
    <xf numFmtId="0" fontId="53" fillId="0" borderId="28" xfId="0" applyFont="1" applyBorder="1" applyAlignment="1">
      <alignment vertical="center" wrapText="1"/>
    </xf>
    <xf numFmtId="0" fontId="48" fillId="42" borderId="0" xfId="0" applyFont="1" applyFill="1" applyAlignment="1">
      <alignment wrapText="1"/>
    </xf>
    <xf numFmtId="0" fontId="0" fillId="42" borderId="0" xfId="0" applyFill="1"/>
    <xf numFmtId="0" fontId="52" fillId="42" borderId="49" xfId="0" applyFont="1" applyFill="1" applyBorder="1" applyAlignment="1">
      <alignment horizontal="right" vertical="center"/>
    </xf>
    <xf numFmtId="0" fontId="48" fillId="32" borderId="0" xfId="0" applyFont="1" applyFill="1" applyAlignment="1">
      <alignment wrapText="1"/>
    </xf>
    <xf numFmtId="1" fontId="52" fillId="0" borderId="63" xfId="0" applyNumberFormat="1" applyFont="1" applyBorder="1" applyAlignment="1">
      <alignment vertical="center"/>
    </xf>
    <xf numFmtId="1" fontId="52" fillId="0" borderId="49" xfId="0" applyNumberFormat="1" applyFont="1" applyBorder="1" applyAlignment="1">
      <alignment vertical="center"/>
    </xf>
    <xf numFmtId="1" fontId="48" fillId="0" borderId="49" xfId="0" applyNumberFormat="1" applyFont="1" applyBorder="1" applyAlignment="1">
      <alignment vertical="center"/>
    </xf>
    <xf numFmtId="1" fontId="52" fillId="0" borderId="28" xfId="0" applyNumberFormat="1" applyFont="1" applyBorder="1" applyAlignment="1">
      <alignment vertical="center"/>
    </xf>
    <xf numFmtId="1" fontId="52" fillId="0" borderId="49" xfId="0" applyNumberFormat="1" applyFont="1" applyBorder="1" applyAlignment="1">
      <alignment horizontal="right" vertical="center"/>
    </xf>
    <xf numFmtId="1" fontId="52" fillId="0" borderId="28" xfId="0" applyNumberFormat="1" applyFont="1" applyBorder="1" applyAlignment="1">
      <alignment horizontal="right" vertical="center"/>
    </xf>
    <xf numFmtId="1" fontId="52" fillId="0" borderId="63" xfId="0" applyNumberFormat="1" applyFont="1" applyBorder="1" applyAlignment="1">
      <alignment horizontal="right" vertical="center"/>
    </xf>
    <xf numFmtId="1" fontId="52" fillId="34" borderId="49" xfId="0" applyNumberFormat="1" applyFont="1" applyFill="1" applyBorder="1" applyAlignment="1">
      <alignment horizontal="right" vertical="center"/>
    </xf>
    <xf numFmtId="1" fontId="53" fillId="0" borderId="28" xfId="0" applyNumberFormat="1" applyFont="1" applyBorder="1" applyAlignment="1">
      <alignment vertical="center"/>
    </xf>
    <xf numFmtId="1" fontId="53" fillId="0" borderId="28" xfId="0" applyNumberFormat="1" applyFont="1" applyBorder="1" applyAlignment="1">
      <alignment horizontal="right" vertical="center"/>
    </xf>
    <xf numFmtId="1" fontId="53" fillId="0" borderId="49" xfId="0" applyNumberFormat="1" applyFont="1" applyBorder="1" applyAlignment="1">
      <alignment vertical="center"/>
    </xf>
    <xf numFmtId="1" fontId="52" fillId="38" borderId="49" xfId="0" applyNumberFormat="1" applyFont="1" applyFill="1" applyBorder="1" applyAlignment="1">
      <alignment horizontal="right" vertical="center"/>
    </xf>
    <xf numFmtId="1" fontId="53" fillId="0" borderId="49" xfId="0" applyNumberFormat="1" applyFont="1" applyBorder="1" applyAlignment="1">
      <alignment horizontal="right" vertical="center"/>
    </xf>
    <xf numFmtId="0" fontId="48" fillId="2" borderId="0" xfId="0" applyFont="1" applyFill="1" applyAlignment="1">
      <alignment wrapText="1"/>
    </xf>
    <xf numFmtId="0" fontId="52" fillId="2" borderId="49" xfId="0" applyFont="1" applyFill="1" applyBorder="1" applyAlignment="1">
      <alignment horizontal="right" vertical="center"/>
    </xf>
    <xf numFmtId="0" fontId="52" fillId="2" borderId="49" xfId="0" applyFont="1" applyFill="1" applyBorder="1" applyAlignment="1">
      <alignment vertical="center"/>
    </xf>
    <xf numFmtId="1" fontId="16" fillId="10" borderId="76" xfId="0" applyNumberFormat="1" applyFont="1" applyFill="1" applyBorder="1" applyAlignment="1">
      <alignment vertical="center"/>
    </xf>
    <xf numFmtId="0" fontId="55" fillId="0" borderId="49" xfId="0" applyFont="1" applyBorder="1" applyAlignment="1">
      <alignment horizontal="right" vertical="center"/>
    </xf>
    <xf numFmtId="0" fontId="55" fillId="38" borderId="49" xfId="0" applyFont="1" applyFill="1" applyBorder="1" applyAlignment="1">
      <alignment horizontal="right" vertical="center"/>
    </xf>
    <xf numFmtId="0" fontId="48" fillId="0" borderId="63" xfId="0" applyFont="1" applyBorder="1" applyAlignment="1">
      <alignment horizontal="right" vertical="center"/>
    </xf>
    <xf numFmtId="0" fontId="52" fillId="31" borderId="49" xfId="0" applyFont="1" applyFill="1" applyBorder="1" applyAlignment="1">
      <alignment vertical="center" wrapText="1"/>
    </xf>
    <xf numFmtId="0" fontId="52" fillId="0" borderId="65" xfId="0" applyFont="1" applyBorder="1" applyAlignment="1">
      <alignment vertical="center"/>
    </xf>
    <xf numFmtId="0" fontId="52" fillId="43" borderId="66" xfId="0" applyFont="1" applyFill="1" applyBorder="1" applyAlignment="1">
      <alignment vertical="center" wrapText="1"/>
    </xf>
    <xf numFmtId="0" fontId="52" fillId="38" borderId="66" xfId="0" applyFont="1" applyFill="1" applyBorder="1" applyAlignment="1">
      <alignment horizontal="right" vertical="center"/>
    </xf>
    <xf numFmtId="0" fontId="52" fillId="43" borderId="54" xfId="0" applyFont="1" applyFill="1" applyBorder="1" applyAlignment="1">
      <alignment vertical="center" wrapText="1"/>
    </xf>
    <xf numFmtId="0" fontId="52" fillId="38" borderId="54" xfId="0" applyFont="1" applyFill="1" applyBorder="1" applyAlignment="1">
      <alignment horizontal="right" vertical="center"/>
    </xf>
    <xf numFmtId="0" fontId="52" fillId="43" borderId="49" xfId="0" applyFont="1" applyFill="1" applyBorder="1" applyAlignment="1">
      <alignment vertical="center" wrapText="1"/>
    </xf>
    <xf numFmtId="0" fontId="52" fillId="38" borderId="37" xfId="0" applyFont="1" applyFill="1" applyBorder="1" applyAlignment="1">
      <alignment horizontal="right" vertical="center"/>
    </xf>
    <xf numFmtId="0" fontId="52" fillId="33" borderId="49" xfId="0" applyFont="1" applyFill="1" applyBorder="1" applyAlignment="1">
      <alignment vertical="center"/>
    </xf>
    <xf numFmtId="0" fontId="48" fillId="33" borderId="49" xfId="0" applyFont="1" applyFill="1" applyBorder="1" applyAlignment="1">
      <alignment vertical="center"/>
    </xf>
    <xf numFmtId="0" fontId="52" fillId="33" borderId="28" xfId="0" applyFont="1" applyFill="1" applyBorder="1" applyAlignment="1">
      <alignment vertical="center"/>
    </xf>
    <xf numFmtId="0" fontId="52" fillId="33" borderId="74" xfId="0" applyFont="1" applyFill="1" applyBorder="1" applyAlignment="1">
      <alignment vertical="center"/>
    </xf>
    <xf numFmtId="0" fontId="52" fillId="33" borderId="49" xfId="0" applyFont="1" applyFill="1" applyBorder="1" applyAlignment="1">
      <alignment horizontal="right" vertical="center"/>
    </xf>
    <xf numFmtId="0" fontId="52" fillId="33" borderId="74" xfId="0" applyFont="1" applyFill="1" applyBorder="1" applyAlignment="1">
      <alignment horizontal="right" vertical="center"/>
    </xf>
    <xf numFmtId="0" fontId="52" fillId="33" borderId="28" xfId="0" applyFont="1" applyFill="1" applyBorder="1" applyAlignment="1">
      <alignment horizontal="right" vertical="center"/>
    </xf>
    <xf numFmtId="0" fontId="52" fillId="33" borderId="63" xfId="0" applyFont="1" applyFill="1" applyBorder="1" applyAlignment="1">
      <alignment horizontal="right" vertical="center"/>
    </xf>
    <xf numFmtId="0" fontId="52" fillId="3" borderId="63" xfId="0" applyFont="1" applyFill="1" applyBorder="1" applyAlignment="1">
      <alignment horizontal="right" vertical="center"/>
    </xf>
    <xf numFmtId="0" fontId="52" fillId="3" borderId="49" xfId="0" applyFont="1" applyFill="1" applyBorder="1" applyAlignment="1">
      <alignment vertical="center"/>
    </xf>
    <xf numFmtId="0" fontId="52" fillId="3" borderId="49" xfId="0" applyFont="1" applyFill="1" applyBorder="1" applyAlignment="1">
      <alignment horizontal="right" vertical="center"/>
    </xf>
    <xf numFmtId="0" fontId="52" fillId="3" borderId="28" xfId="0" applyFont="1" applyFill="1" applyBorder="1" applyAlignment="1">
      <alignment horizontal="right" vertical="center"/>
    </xf>
    <xf numFmtId="0" fontId="52" fillId="3" borderId="63" xfId="0" applyFont="1" applyFill="1" applyBorder="1" applyAlignment="1">
      <alignment vertical="center"/>
    </xf>
    <xf numFmtId="0" fontId="48" fillId="3" borderId="49" xfId="0" applyFont="1" applyFill="1" applyBorder="1" applyAlignment="1">
      <alignment vertical="center"/>
    </xf>
    <xf numFmtId="0" fontId="52" fillId="3" borderId="28" xfId="0" applyFont="1" applyFill="1" applyBorder="1" applyAlignment="1">
      <alignment vertical="center"/>
    </xf>
    <xf numFmtId="0" fontId="52" fillId="3" borderId="65" xfId="0" applyFont="1" applyFill="1" applyBorder="1" applyAlignment="1">
      <alignment horizontal="right" vertical="center"/>
    </xf>
    <xf numFmtId="0" fontId="52" fillId="3" borderId="66" xfId="0" applyFont="1" applyFill="1" applyBorder="1" applyAlignment="1">
      <alignment vertical="center"/>
    </xf>
    <xf numFmtId="0" fontId="52" fillId="3" borderId="66" xfId="0" applyFont="1" applyFill="1" applyBorder="1" applyAlignment="1">
      <alignment horizontal="right" vertical="center"/>
    </xf>
    <xf numFmtId="0" fontId="52" fillId="3" borderId="0" xfId="0" applyFont="1" applyFill="1" applyAlignment="1">
      <alignment horizontal="right" vertical="center"/>
    </xf>
    <xf numFmtId="0" fontId="52" fillId="3" borderId="62" xfId="0" applyFont="1" applyFill="1" applyBorder="1" applyAlignment="1">
      <alignment vertical="center"/>
    </xf>
    <xf numFmtId="0" fontId="52" fillId="3" borderId="54" xfId="0" applyFont="1" applyFill="1" applyBorder="1" applyAlignment="1">
      <alignment vertical="center"/>
    </xf>
    <xf numFmtId="0" fontId="52" fillId="3" borderId="57" xfId="0" applyFont="1" applyFill="1" applyBorder="1" applyAlignment="1">
      <alignment vertical="center"/>
    </xf>
    <xf numFmtId="0" fontId="52" fillId="33" borderId="66" xfId="0" applyFont="1" applyFill="1" applyBorder="1" applyAlignment="1">
      <alignment vertical="center"/>
    </xf>
    <xf numFmtId="0" fontId="52" fillId="33" borderId="66" xfId="0" applyFont="1" applyFill="1" applyBorder="1" applyAlignment="1">
      <alignment horizontal="right" vertical="center"/>
    </xf>
    <xf numFmtId="0" fontId="52" fillId="33" borderId="0" xfId="0" applyFont="1" applyFill="1" applyAlignment="1">
      <alignment horizontal="right" vertical="center"/>
    </xf>
    <xf numFmtId="0" fontId="52" fillId="33" borderId="67" xfId="0" applyFont="1" applyFill="1" applyBorder="1" applyAlignment="1">
      <alignment horizontal="right" vertical="center"/>
    </xf>
    <xf numFmtId="0" fontId="52" fillId="33" borderId="54" xfId="0" applyFont="1" applyFill="1" applyBorder="1" applyAlignment="1">
      <alignment horizontal="right" vertical="center"/>
    </xf>
    <xf numFmtId="0" fontId="52" fillId="33" borderId="54" xfId="0" applyFont="1" applyFill="1" applyBorder="1" applyAlignment="1">
      <alignment vertical="center"/>
    </xf>
    <xf numFmtId="0" fontId="52" fillId="33" borderId="57" xfId="0" applyFont="1" applyFill="1" applyBorder="1" applyAlignment="1">
      <alignment horizontal="right" vertical="center"/>
    </xf>
    <xf numFmtId="0" fontId="52" fillId="33" borderId="58" xfId="0" applyFont="1" applyFill="1" applyBorder="1" applyAlignment="1">
      <alignment horizontal="right" vertical="center"/>
    </xf>
    <xf numFmtId="0" fontId="48" fillId="33" borderId="66" xfId="0" applyFont="1" applyFill="1" applyBorder="1" applyAlignment="1">
      <alignment vertical="center"/>
    </xf>
    <xf numFmtId="0" fontId="52" fillId="33" borderId="37" xfId="0" applyFont="1" applyFill="1" applyBorder="1" applyAlignment="1">
      <alignment horizontal="right" vertical="center"/>
    </xf>
    <xf numFmtId="0" fontId="48" fillId="33" borderId="54" xfId="0" applyFont="1" applyFill="1" applyBorder="1" applyAlignment="1">
      <alignment vertical="center"/>
    </xf>
    <xf numFmtId="0" fontId="52" fillId="33" borderId="57" xfId="0" applyFont="1" applyFill="1" applyBorder="1" applyAlignment="1">
      <alignment vertical="center"/>
    </xf>
    <xf numFmtId="0" fontId="52" fillId="33" borderId="58" xfId="0" applyFont="1" applyFill="1" applyBorder="1" applyAlignment="1">
      <alignment vertical="center"/>
    </xf>
    <xf numFmtId="0" fontId="52" fillId="3" borderId="65" xfId="0" applyFont="1" applyFill="1" applyBorder="1" applyAlignment="1">
      <alignment vertical="center"/>
    </xf>
    <xf numFmtId="0" fontId="52" fillId="3" borderId="0" xfId="0" applyFont="1" applyFill="1" applyAlignment="1">
      <alignment vertical="center"/>
    </xf>
    <xf numFmtId="0" fontId="52" fillId="3" borderId="54" xfId="0" applyFont="1" applyFill="1" applyBorder="1" applyAlignment="1">
      <alignment horizontal="right" vertical="center"/>
    </xf>
    <xf numFmtId="0" fontId="48" fillId="3" borderId="37" xfId="0" applyFont="1" applyFill="1" applyBorder="1" applyAlignment="1">
      <alignment vertical="center"/>
    </xf>
    <xf numFmtId="0" fontId="52" fillId="3" borderId="62" xfId="0" applyFont="1" applyFill="1" applyBorder="1" applyAlignment="1">
      <alignment horizontal="right" vertical="center"/>
    </xf>
    <xf numFmtId="0" fontId="52" fillId="3" borderId="57" xfId="0" applyFont="1" applyFill="1" applyBorder="1" applyAlignment="1">
      <alignment horizontal="right" vertical="center"/>
    </xf>
    <xf numFmtId="0" fontId="52" fillId="44" borderId="49" xfId="0" applyFont="1" applyFill="1" applyBorder="1" applyAlignment="1">
      <alignment horizontal="right" vertical="center"/>
    </xf>
    <xf numFmtId="0" fontId="52" fillId="44" borderId="28" xfId="0" applyFont="1" applyFill="1" applyBorder="1" applyAlignment="1">
      <alignment horizontal="right" vertical="center"/>
    </xf>
    <xf numFmtId="0" fontId="52" fillId="44" borderId="63" xfId="0" applyFont="1" applyFill="1" applyBorder="1" applyAlignment="1">
      <alignment horizontal="right" vertical="center"/>
    </xf>
    <xf numFmtId="0" fontId="52" fillId="44" borderId="49" xfId="0" applyFont="1" applyFill="1" applyBorder="1" applyAlignment="1">
      <alignment vertical="center"/>
    </xf>
    <xf numFmtId="0" fontId="52" fillId="21" borderId="28" xfId="0" applyFont="1" applyFill="1" applyBorder="1" applyAlignment="1">
      <alignment horizontal="right" vertical="center"/>
    </xf>
    <xf numFmtId="0" fontId="51" fillId="0" borderId="0" xfId="0" applyFont="1" applyAlignment="1">
      <alignment vertical="center" wrapText="1"/>
    </xf>
    <xf numFmtId="0" fontId="52" fillId="31" borderId="66" xfId="0" applyFont="1" applyFill="1" applyBorder="1" applyAlignment="1">
      <alignment vertical="center" wrapText="1"/>
    </xf>
    <xf numFmtId="0" fontId="52" fillId="31" borderId="54" xfId="0" applyFont="1" applyFill="1" applyBorder="1" applyAlignment="1">
      <alignment vertical="center" wrapText="1"/>
    </xf>
    <xf numFmtId="0" fontId="53" fillId="33" borderId="49" xfId="0" applyFont="1" applyFill="1" applyBorder="1" applyAlignment="1">
      <alignment horizontal="right" vertical="center"/>
    </xf>
    <xf numFmtId="0" fontId="53" fillId="33" borderId="49" xfId="0" applyFont="1" applyFill="1" applyBorder="1" applyAlignment="1">
      <alignment vertical="center"/>
    </xf>
    <xf numFmtId="0" fontId="53" fillId="33" borderId="66" xfId="0" applyFont="1" applyFill="1" applyBorder="1" applyAlignment="1">
      <alignment horizontal="right" vertical="center"/>
    </xf>
    <xf numFmtId="0" fontId="53" fillId="33" borderId="66" xfId="0" applyFont="1" applyFill="1" applyBorder="1" applyAlignment="1">
      <alignment vertical="center"/>
    </xf>
    <xf numFmtId="0" fontId="53" fillId="33" borderId="0" xfId="0" applyFont="1" applyFill="1" applyAlignment="1">
      <alignment horizontal="right" vertical="center"/>
    </xf>
    <xf numFmtId="0" fontId="53" fillId="33" borderId="67" xfId="0" applyFont="1" applyFill="1" applyBorder="1" applyAlignment="1">
      <alignment horizontal="right" vertical="center"/>
    </xf>
    <xf numFmtId="0" fontId="53" fillId="33" borderId="54" xfId="0" applyFont="1" applyFill="1" applyBorder="1" applyAlignment="1">
      <alignment horizontal="right" vertical="center"/>
    </xf>
    <xf numFmtId="0" fontId="53" fillId="33" borderId="54" xfId="0" applyFont="1" applyFill="1" applyBorder="1" applyAlignment="1">
      <alignment vertical="center"/>
    </xf>
    <xf numFmtId="0" fontId="53" fillId="33" borderId="57" xfId="0" applyFont="1" applyFill="1" applyBorder="1" applyAlignment="1">
      <alignment horizontal="right" vertical="center"/>
    </xf>
    <xf numFmtId="0" fontId="53" fillId="33" borderId="58" xfId="0" applyFont="1" applyFill="1" applyBorder="1" applyAlignment="1">
      <alignment horizontal="right" vertical="center"/>
    </xf>
    <xf numFmtId="0" fontId="53" fillId="3" borderId="49" xfId="0" applyFont="1" applyFill="1" applyBorder="1" applyAlignment="1">
      <alignment vertical="center"/>
    </xf>
    <xf numFmtId="0" fontId="53" fillId="3" borderId="49" xfId="0" applyFont="1" applyFill="1" applyBorder="1" applyAlignment="1">
      <alignment horizontal="right" vertical="center"/>
    </xf>
    <xf numFmtId="0" fontId="53" fillId="3" borderId="65" xfId="0" applyFont="1" applyFill="1" applyBorder="1" applyAlignment="1">
      <alignment vertical="center"/>
    </xf>
    <xf numFmtId="0" fontId="53" fillId="3" borderId="66" xfId="0" applyFont="1" applyFill="1" applyBorder="1" applyAlignment="1">
      <alignment vertical="center"/>
    </xf>
    <xf numFmtId="0" fontId="53" fillId="3" borderId="66" xfId="0" applyFont="1" applyFill="1" applyBorder="1" applyAlignment="1">
      <alignment horizontal="right" vertical="center"/>
    </xf>
    <xf numFmtId="0" fontId="53" fillId="3" borderId="0" xfId="0" applyFont="1" applyFill="1" applyAlignment="1">
      <alignment vertical="center"/>
    </xf>
    <xf numFmtId="0" fontId="53" fillId="3" borderId="62" xfId="0" applyFont="1" applyFill="1" applyBorder="1" applyAlignment="1">
      <alignment vertical="center"/>
    </xf>
    <xf numFmtId="0" fontId="53" fillId="3" borderId="54" xfId="0" applyFont="1" applyFill="1" applyBorder="1" applyAlignment="1">
      <alignment vertical="center"/>
    </xf>
    <xf numFmtId="0" fontId="53" fillId="3" borderId="54" xfId="0" applyFont="1" applyFill="1" applyBorder="1" applyAlignment="1">
      <alignment horizontal="right" vertical="center"/>
    </xf>
    <xf numFmtId="0" fontId="48" fillId="3" borderId="0" xfId="0" applyFont="1" applyFill="1" applyAlignment="1">
      <alignment wrapText="1"/>
    </xf>
    <xf numFmtId="0" fontId="0" fillId="3" borderId="0" xfId="0" applyFill="1"/>
    <xf numFmtId="0" fontId="57" fillId="0" borderId="0" xfId="0" applyFont="1" applyAlignment="1">
      <alignment wrapText="1"/>
    </xf>
    <xf numFmtId="0" fontId="3" fillId="0" borderId="0" xfId="0" applyFont="1"/>
    <xf numFmtId="0" fontId="3" fillId="44" borderId="0" xfId="0" applyFont="1" applyFill="1"/>
    <xf numFmtId="0" fontId="3" fillId="21" borderId="0" xfId="0" applyFont="1" applyFill="1"/>
    <xf numFmtId="0" fontId="57" fillId="0" borderId="28" xfId="0" applyFont="1" applyBorder="1" applyAlignment="1">
      <alignment vertical="center" wrapText="1"/>
    </xf>
    <xf numFmtId="1" fontId="16" fillId="10" borderId="4" xfId="0" quotePrefix="1" applyNumberFormat="1" applyFont="1" applyFill="1" applyBorder="1" applyAlignment="1">
      <alignment vertical="center"/>
    </xf>
    <xf numFmtId="1" fontId="17" fillId="0" borderId="4" xfId="1" quotePrefix="1" applyNumberFormat="1" applyFont="1" applyFill="1" applyBorder="1" applyAlignment="1">
      <alignment vertical="center"/>
    </xf>
    <xf numFmtId="1" fontId="16" fillId="10" borderId="13" xfId="0" quotePrefix="1" applyNumberFormat="1" applyFont="1" applyFill="1" applyBorder="1" applyAlignment="1">
      <alignment vertical="center"/>
    </xf>
    <xf numFmtId="1" fontId="16" fillId="21" borderId="13" xfId="0" quotePrefix="1" applyNumberFormat="1" applyFont="1" applyFill="1" applyBorder="1" applyAlignment="1">
      <alignment vertical="center"/>
    </xf>
    <xf numFmtId="1" fontId="17" fillId="0" borderId="13" xfId="1" quotePrefix="1" applyNumberFormat="1" applyFont="1" applyFill="1" applyBorder="1" applyAlignment="1">
      <alignment vertical="center"/>
    </xf>
    <xf numFmtId="1" fontId="16" fillId="10" borderId="7" xfId="0" quotePrefix="1" applyNumberFormat="1" applyFont="1" applyFill="1" applyBorder="1" applyAlignment="1">
      <alignment vertical="center"/>
    </xf>
    <xf numFmtId="1" fontId="16" fillId="21" borderId="7" xfId="0" quotePrefix="1" applyNumberFormat="1" applyFont="1" applyFill="1" applyBorder="1" applyAlignment="1">
      <alignment vertical="center"/>
    </xf>
    <xf numFmtId="1" fontId="17" fillId="0" borderId="7" xfId="1" quotePrefix="1" applyNumberFormat="1" applyFont="1" applyFill="1" applyBorder="1" applyAlignment="1">
      <alignment vertical="center"/>
    </xf>
    <xf numFmtId="0" fontId="16" fillId="0" borderId="1" xfId="0" quotePrefix="1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6" fillId="32" borderId="1" xfId="0" applyFont="1" applyFill="1" applyBorder="1" applyAlignment="1">
      <alignment vertical="center" wrapText="1"/>
    </xf>
    <xf numFmtId="0" fontId="16" fillId="6" borderId="53" xfId="0" applyFont="1" applyFill="1" applyBorder="1" applyAlignment="1">
      <alignment vertical="center"/>
    </xf>
    <xf numFmtId="0" fontId="16" fillId="6" borderId="57" xfId="0" applyFont="1" applyFill="1" applyBorder="1" applyAlignment="1">
      <alignment vertical="center"/>
    </xf>
    <xf numFmtId="0" fontId="16" fillId="6" borderId="54" xfId="0" applyFont="1" applyFill="1" applyBorder="1" applyAlignment="1">
      <alignment vertical="center"/>
    </xf>
    <xf numFmtId="0" fontId="21" fillId="22" borderId="13" xfId="0" applyFont="1" applyFill="1" applyBorder="1" applyAlignment="1">
      <alignment vertical="center" wrapText="1"/>
    </xf>
    <xf numFmtId="0" fontId="29" fillId="20" borderId="13" xfId="0" applyFont="1" applyFill="1" applyBorder="1" applyAlignment="1">
      <alignment vertical="center" wrapText="1"/>
    </xf>
    <xf numFmtId="0" fontId="21" fillId="25" borderId="23" xfId="0" applyFont="1" applyFill="1" applyBorder="1" applyAlignment="1">
      <alignment vertical="center" wrapText="1"/>
    </xf>
    <xf numFmtId="0" fontId="16" fillId="26" borderId="53" xfId="0" applyFont="1" applyFill="1" applyBorder="1" applyAlignment="1">
      <alignment vertical="center"/>
    </xf>
    <xf numFmtId="0" fontId="16" fillId="26" borderId="57" xfId="0" applyFont="1" applyFill="1" applyBorder="1" applyAlignment="1">
      <alignment vertical="center"/>
    </xf>
    <xf numFmtId="0" fontId="16" fillId="26" borderId="54" xfId="0" applyFont="1" applyFill="1" applyBorder="1" applyAlignment="1">
      <alignment vertical="center"/>
    </xf>
    <xf numFmtId="0" fontId="16" fillId="8" borderId="7" xfId="0" applyFont="1" applyFill="1" applyBorder="1" applyAlignment="1">
      <alignment vertical="center" wrapText="1"/>
    </xf>
    <xf numFmtId="0" fontId="21" fillId="8" borderId="7" xfId="0" applyFont="1" applyFill="1" applyBorder="1" applyAlignment="1">
      <alignment vertical="center" wrapText="1"/>
    </xf>
    <xf numFmtId="0" fontId="21" fillId="33" borderId="7" xfId="0" applyFont="1" applyFill="1" applyBorder="1" applyAlignment="1">
      <alignment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21" fillId="32" borderId="7" xfId="0" applyFont="1" applyFill="1" applyBorder="1" applyAlignment="1">
      <alignment vertical="center" wrapText="1"/>
    </xf>
    <xf numFmtId="2" fontId="13" fillId="0" borderId="0" xfId="0" applyNumberFormat="1" applyFont="1"/>
    <xf numFmtId="0" fontId="48" fillId="0" borderId="37" xfId="0" applyFont="1" applyBorder="1" applyAlignment="1">
      <alignment horizontal="center" vertical="center"/>
    </xf>
    <xf numFmtId="0" fontId="49" fillId="34" borderId="37" xfId="0" applyFont="1" applyFill="1" applyBorder="1" applyAlignment="1">
      <alignment horizontal="center" vertical="center"/>
    </xf>
    <xf numFmtId="0" fontId="49" fillId="34" borderId="66" xfId="0" applyFont="1" applyFill="1" applyBorder="1" applyAlignment="1">
      <alignment horizontal="center" vertical="center"/>
    </xf>
    <xf numFmtId="0" fontId="0" fillId="34" borderId="49" xfId="0" applyFill="1" applyBorder="1" applyAlignment="1">
      <alignment vertical="center"/>
    </xf>
    <xf numFmtId="0" fontId="48" fillId="0" borderId="66" xfId="0" applyFont="1" applyBorder="1" applyAlignment="1">
      <alignment horizontal="center" vertical="center"/>
    </xf>
    <xf numFmtId="0" fontId="48" fillId="0" borderId="49" xfId="0" applyFont="1" applyBorder="1" applyAlignment="1">
      <alignment horizontal="right" vertical="center"/>
    </xf>
    <xf numFmtId="0" fontId="48" fillId="0" borderId="80" xfId="0" applyFont="1" applyBorder="1" applyAlignment="1">
      <alignment horizontal="center" vertical="center"/>
    </xf>
    <xf numFmtId="0" fontId="49" fillId="34" borderId="81" xfId="0" applyFont="1" applyFill="1" applyBorder="1" applyAlignment="1">
      <alignment horizontal="center" vertical="center"/>
    </xf>
    <xf numFmtId="1" fontId="16" fillId="26" borderId="7" xfId="0" applyNumberFormat="1" applyFont="1" applyFill="1" applyBorder="1" applyAlignment="1">
      <alignment vertical="center"/>
    </xf>
    <xf numFmtId="1" fontId="16" fillId="26" borderId="26" xfId="0" applyNumberFormat="1" applyFont="1" applyFill="1" applyBorder="1" applyAlignment="1">
      <alignment vertical="center"/>
    </xf>
    <xf numFmtId="1" fontId="16" fillId="26" borderId="13" xfId="0" applyNumberFormat="1" applyFont="1" applyFill="1" applyBorder="1" applyAlignment="1">
      <alignment vertical="center"/>
    </xf>
    <xf numFmtId="1" fontId="16" fillId="26" borderId="4" xfId="0" applyNumberFormat="1" applyFont="1" applyFill="1" applyBorder="1" applyAlignment="1">
      <alignment vertical="center"/>
    </xf>
    <xf numFmtId="0" fontId="39" fillId="17" borderId="10" xfId="0" applyFont="1" applyFill="1" applyBorder="1" applyAlignment="1">
      <alignment horizontal="left" wrapText="1"/>
    </xf>
    <xf numFmtId="0" fontId="13" fillId="17" borderId="10" xfId="0" applyFont="1" applyFill="1" applyBorder="1" applyAlignment="1">
      <alignment horizontal="left" wrapText="1"/>
    </xf>
    <xf numFmtId="0" fontId="13" fillId="17" borderId="24" xfId="0" applyFont="1" applyFill="1" applyBorder="1" applyAlignment="1">
      <alignment horizontal="left" wrapText="1"/>
    </xf>
    <xf numFmtId="0" fontId="41" fillId="17" borderId="10" xfId="0" applyFont="1" applyFill="1" applyBorder="1" applyAlignment="1">
      <alignment horizontal="left" wrapText="1"/>
    </xf>
    <xf numFmtId="0" fontId="40" fillId="17" borderId="10" xfId="0" applyFont="1" applyFill="1" applyBorder="1" applyAlignment="1">
      <alignment horizontal="left" wrapText="1"/>
    </xf>
    <xf numFmtId="0" fontId="41" fillId="17" borderId="22" xfId="0" applyFont="1" applyFill="1" applyBorder="1" applyAlignment="1">
      <alignment horizontal="left" wrapText="1"/>
    </xf>
    <xf numFmtId="0" fontId="39" fillId="17" borderId="24" xfId="0" applyFont="1" applyFill="1" applyBorder="1" applyAlignment="1">
      <alignment horizontal="left" wrapText="1"/>
    </xf>
    <xf numFmtId="0" fontId="40" fillId="17" borderId="24" xfId="0" applyFont="1" applyFill="1" applyBorder="1" applyAlignment="1">
      <alignment horizontal="left" wrapText="1"/>
    </xf>
    <xf numFmtId="0" fontId="40" fillId="17" borderId="22" xfId="0" applyFont="1" applyFill="1" applyBorder="1" applyAlignment="1">
      <alignment horizontal="left" wrapText="1"/>
    </xf>
    <xf numFmtId="0" fontId="0" fillId="17" borderId="10" xfId="0" applyFill="1" applyBorder="1" applyAlignment="1">
      <alignment horizontal="left" vertical="center" wrapText="1"/>
    </xf>
    <xf numFmtId="0" fontId="13" fillId="17" borderId="7" xfId="0" applyFont="1" applyFill="1" applyBorder="1" applyAlignment="1">
      <alignment horizontal="left" wrapText="1"/>
    </xf>
    <xf numFmtId="0" fontId="39" fillId="17" borderId="10" xfId="0" applyFont="1" applyFill="1" applyBorder="1" applyAlignment="1">
      <alignment horizontal="left" vertical="top" wrapText="1"/>
    </xf>
    <xf numFmtId="0" fontId="40" fillId="17" borderId="10" xfId="0" applyFont="1" applyFill="1" applyBorder="1" applyAlignment="1">
      <alignment horizontal="left" vertical="top" wrapText="1"/>
    </xf>
    <xf numFmtId="165" fontId="4" fillId="17" borderId="7" xfId="0" applyNumberFormat="1" applyFont="1" applyFill="1" applyBorder="1"/>
    <xf numFmtId="0" fontId="0" fillId="31" borderId="7" xfId="0" applyFill="1" applyBorder="1" applyAlignment="1">
      <alignment wrapText="1"/>
    </xf>
    <xf numFmtId="0" fontId="9" fillId="31" borderId="7" xfId="0" applyFont="1" applyFill="1" applyBorder="1" applyAlignment="1">
      <alignment wrapText="1"/>
    </xf>
    <xf numFmtId="0" fontId="9" fillId="31" borderId="7" xfId="0" applyFont="1" applyFill="1" applyBorder="1"/>
    <xf numFmtId="0" fontId="0" fillId="8" borderId="25" xfId="0" applyFill="1" applyBorder="1" applyAlignment="1">
      <alignment horizontal="center" wrapText="1"/>
    </xf>
    <xf numFmtId="0" fontId="0" fillId="8" borderId="26" xfId="0" applyFill="1" applyBorder="1" applyAlignment="1">
      <alignment vertical="center" wrapText="1"/>
    </xf>
    <xf numFmtId="0" fontId="0" fillId="8" borderId="26" xfId="0" applyFill="1" applyBorder="1" applyAlignment="1">
      <alignment wrapText="1"/>
    </xf>
    <xf numFmtId="1" fontId="4" fillId="17" borderId="26" xfId="0" applyNumberFormat="1" applyFont="1" applyFill="1" applyBorder="1" applyAlignment="1">
      <alignment wrapText="1"/>
    </xf>
    <xf numFmtId="0" fontId="0" fillId="31" borderId="6" xfId="0" applyFill="1" applyBorder="1" applyAlignment="1">
      <alignment horizontal="center" wrapText="1"/>
    </xf>
    <xf numFmtId="0" fontId="0" fillId="31" borderId="60" xfId="0" applyFill="1" applyBorder="1" applyAlignment="1">
      <alignment horizontal="center" wrapText="1"/>
    </xf>
    <xf numFmtId="0" fontId="0" fillId="31" borderId="11" xfId="0" applyFill="1" applyBorder="1" applyAlignment="1">
      <alignment wrapText="1"/>
    </xf>
    <xf numFmtId="0" fontId="4" fillId="31" borderId="11" xfId="0" applyFont="1" applyFill="1" applyBorder="1" applyAlignment="1">
      <alignment wrapText="1"/>
    </xf>
    <xf numFmtId="0" fontId="9" fillId="31" borderId="11" xfId="0" applyFont="1" applyFill="1" applyBorder="1" applyAlignment="1">
      <alignment wrapText="1"/>
    </xf>
    <xf numFmtId="0" fontId="9" fillId="31" borderId="11" xfId="0" applyFont="1" applyFill="1" applyBorder="1"/>
    <xf numFmtId="165" fontId="4" fillId="17" borderId="11" xfId="0" applyNumberFormat="1" applyFont="1" applyFill="1" applyBorder="1"/>
    <xf numFmtId="0" fontId="9" fillId="0" borderId="33" xfId="0" quotePrefix="1" applyFont="1" applyBorder="1"/>
    <xf numFmtId="0" fontId="16" fillId="0" borderId="38" xfId="0" applyFont="1" applyBorder="1" applyAlignment="1">
      <alignment vertical="center" wrapText="1"/>
    </xf>
    <xf numFmtId="0" fontId="16" fillId="0" borderId="39" xfId="0" applyFont="1" applyBorder="1" applyAlignment="1">
      <alignment vertical="center" wrapText="1"/>
    </xf>
    <xf numFmtId="0" fontId="16" fillId="0" borderId="76" xfId="0" applyFont="1" applyBorder="1" applyAlignment="1">
      <alignment vertical="center" wrapText="1"/>
    </xf>
    <xf numFmtId="0" fontId="16" fillId="22" borderId="56" xfId="0" applyFont="1" applyFill="1" applyBorder="1" applyAlignment="1">
      <alignment vertical="center" wrapText="1"/>
    </xf>
    <xf numFmtId="165" fontId="16" fillId="48" borderId="38" xfId="0" applyNumberFormat="1" applyFont="1" applyFill="1" applyBorder="1" applyAlignment="1">
      <alignment vertical="center" wrapText="1"/>
    </xf>
    <xf numFmtId="165" fontId="16" fillId="48" borderId="39" xfId="0" applyNumberFormat="1" applyFont="1" applyFill="1" applyBorder="1" applyAlignment="1">
      <alignment vertical="center" wrapText="1"/>
    </xf>
    <xf numFmtId="165" fontId="16" fillId="0" borderId="38" xfId="0" applyNumberFormat="1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22" borderId="31" xfId="0" applyFont="1" applyFill="1" applyBorder="1" applyAlignment="1">
      <alignment vertical="center" wrapText="1"/>
    </xf>
    <xf numFmtId="165" fontId="16" fillId="48" borderId="6" xfId="0" applyNumberFormat="1" applyFont="1" applyFill="1" applyBorder="1" applyAlignment="1">
      <alignment vertical="center" wrapText="1"/>
    </xf>
    <xf numFmtId="165" fontId="16" fillId="48" borderId="7" xfId="0" applyNumberFormat="1" applyFont="1" applyFill="1" applyBorder="1" applyAlignment="1">
      <alignment vertical="center" wrapText="1"/>
    </xf>
    <xf numFmtId="165" fontId="16" fillId="0" borderId="6" xfId="0" applyNumberFormat="1" applyFont="1" applyBorder="1" applyAlignment="1">
      <alignment vertical="center" wrapText="1"/>
    </xf>
    <xf numFmtId="165" fontId="16" fillId="18" borderId="53" xfId="0" applyNumberFormat="1" applyFont="1" applyFill="1" applyBorder="1" applyAlignment="1">
      <alignment vertical="center"/>
    </xf>
    <xf numFmtId="165" fontId="16" fillId="29" borderId="53" xfId="0" applyNumberFormat="1" applyFont="1" applyFill="1" applyBorder="1" applyAlignment="1">
      <alignment vertical="center"/>
    </xf>
    <xf numFmtId="165" fontId="12" fillId="6" borderId="51" xfId="0" applyNumberFormat="1" applyFont="1" applyFill="1" applyBorder="1" applyAlignment="1">
      <alignment vertical="center"/>
    </xf>
    <xf numFmtId="165" fontId="12" fillId="26" borderId="51" xfId="0" applyNumberFormat="1" applyFont="1" applyFill="1" applyBorder="1" applyAlignment="1">
      <alignment vertical="center"/>
    </xf>
    <xf numFmtId="165" fontId="12" fillId="30" borderId="51" xfId="0" applyNumberFormat="1" applyFont="1" applyFill="1" applyBorder="1" applyAlignment="1">
      <alignment vertical="center"/>
    </xf>
    <xf numFmtId="0" fontId="30" fillId="27" borderId="42" xfId="0" applyFont="1" applyFill="1" applyBorder="1" applyAlignment="1">
      <alignment vertical="center"/>
    </xf>
    <xf numFmtId="165" fontId="30" fillId="27" borderId="42" xfId="0" applyNumberFormat="1" applyFont="1" applyFill="1" applyBorder="1" applyAlignment="1">
      <alignment vertical="center"/>
    </xf>
    <xf numFmtId="0" fontId="12" fillId="30" borderId="52" xfId="0" applyFont="1" applyFill="1" applyBorder="1" applyAlignment="1">
      <alignment vertical="center"/>
    </xf>
    <xf numFmtId="0" fontId="30" fillId="27" borderId="44" xfId="0" applyFont="1" applyFill="1" applyBorder="1" applyAlignment="1">
      <alignment vertical="center"/>
    </xf>
    <xf numFmtId="0" fontId="12" fillId="30" borderId="50" xfId="0" applyFont="1" applyFill="1" applyBorder="1" applyAlignment="1">
      <alignment vertical="center"/>
    </xf>
    <xf numFmtId="0" fontId="12" fillId="30" borderId="55" xfId="0" applyFont="1" applyFill="1" applyBorder="1" applyAlignment="1">
      <alignment vertical="center"/>
    </xf>
    <xf numFmtId="0" fontId="30" fillId="27" borderId="41" xfId="0" applyFont="1" applyFill="1" applyBorder="1" applyAlignment="1">
      <alignment vertical="center"/>
    </xf>
    <xf numFmtId="0" fontId="30" fillId="27" borderId="33" xfId="0" applyFont="1" applyFill="1" applyBorder="1" applyAlignment="1">
      <alignment vertical="center"/>
    </xf>
    <xf numFmtId="165" fontId="12" fillId="30" borderId="53" xfId="0" applyNumberFormat="1" applyFont="1" applyFill="1" applyBorder="1" applyAlignment="1">
      <alignment vertical="center"/>
    </xf>
    <xf numFmtId="165" fontId="30" fillId="27" borderId="43" xfId="0" applyNumberFormat="1" applyFont="1" applyFill="1" applyBorder="1" applyAlignment="1">
      <alignment vertical="center"/>
    </xf>
    <xf numFmtId="0" fontId="12" fillId="30" borderId="62" xfId="0" applyFont="1" applyFill="1" applyBorder="1" applyAlignment="1">
      <alignment vertical="center"/>
    </xf>
    <xf numFmtId="0" fontId="30" fillId="27" borderId="63" xfId="0" applyFont="1" applyFill="1" applyBorder="1" applyAlignment="1">
      <alignment vertical="center"/>
    </xf>
    <xf numFmtId="165" fontId="16" fillId="48" borderId="83" xfId="0" applyNumberFormat="1" applyFont="1" applyFill="1" applyBorder="1" applyAlignment="1">
      <alignment vertical="center" wrapText="1"/>
    </xf>
    <xf numFmtId="165" fontId="16" fillId="48" borderId="9" xfId="0" applyNumberFormat="1" applyFont="1" applyFill="1" applyBorder="1" applyAlignment="1">
      <alignment vertical="center" wrapText="1"/>
    </xf>
    <xf numFmtId="165" fontId="16" fillId="18" borderId="57" xfId="0" applyNumberFormat="1" applyFont="1" applyFill="1" applyBorder="1" applyAlignment="1">
      <alignment vertical="center"/>
    </xf>
    <xf numFmtId="165" fontId="16" fillId="29" borderId="57" xfId="0" applyNumberFormat="1" applyFont="1" applyFill="1" applyBorder="1" applyAlignment="1">
      <alignment vertical="center"/>
    </xf>
    <xf numFmtId="165" fontId="12" fillId="6" borderId="52" xfId="0" applyNumberFormat="1" applyFont="1" applyFill="1" applyBorder="1" applyAlignment="1">
      <alignment vertical="center"/>
    </xf>
    <xf numFmtId="165" fontId="12" fillId="26" borderId="52" xfId="0" applyNumberFormat="1" applyFont="1" applyFill="1" applyBorder="1" applyAlignment="1">
      <alignment vertical="center"/>
    </xf>
    <xf numFmtId="165" fontId="12" fillId="30" borderId="52" xfId="0" applyNumberFormat="1" applyFont="1" applyFill="1" applyBorder="1" applyAlignment="1">
      <alignment vertical="center"/>
    </xf>
    <xf numFmtId="165" fontId="30" fillId="27" borderId="44" xfId="0" applyNumberFormat="1" applyFont="1" applyFill="1" applyBorder="1" applyAlignment="1">
      <alignment vertical="center"/>
    </xf>
    <xf numFmtId="0" fontId="16" fillId="0" borderId="84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2" fillId="6" borderId="53" xfId="0" applyFont="1" applyFill="1" applyBorder="1" applyAlignment="1">
      <alignment vertical="center"/>
    </xf>
    <xf numFmtId="1" fontId="12" fillId="26" borderId="53" xfId="0" applyNumberFormat="1" applyFont="1" applyFill="1" applyBorder="1" applyAlignment="1">
      <alignment vertical="center"/>
    </xf>
    <xf numFmtId="0" fontId="12" fillId="30" borderId="53" xfId="0" applyFont="1" applyFill="1" applyBorder="1" applyAlignment="1">
      <alignment vertical="center"/>
    </xf>
    <xf numFmtId="0" fontId="30" fillId="27" borderId="43" xfId="0" applyFont="1" applyFill="1" applyBorder="1" applyAlignment="1">
      <alignment vertical="center"/>
    </xf>
    <xf numFmtId="165" fontId="16" fillId="22" borderId="64" xfId="0" applyNumberFormat="1" applyFont="1" applyFill="1" applyBorder="1" applyAlignment="1">
      <alignment vertical="center" wrapText="1"/>
    </xf>
    <xf numFmtId="165" fontId="16" fillId="22" borderId="68" xfId="0" applyNumberFormat="1" applyFont="1" applyFill="1" applyBorder="1" applyAlignment="1">
      <alignment vertical="center" wrapText="1"/>
    </xf>
    <xf numFmtId="165" fontId="16" fillId="18" borderId="62" xfId="0" applyNumberFormat="1" applyFont="1" applyFill="1" applyBorder="1" applyAlignment="1">
      <alignment vertical="center"/>
    </xf>
    <xf numFmtId="165" fontId="16" fillId="29" borderId="62" xfId="0" applyNumberFormat="1" applyFont="1" applyFill="1" applyBorder="1" applyAlignment="1">
      <alignment vertical="center"/>
    </xf>
    <xf numFmtId="165" fontId="12" fillId="6" borderId="62" xfId="0" applyNumberFormat="1" applyFont="1" applyFill="1" applyBorder="1" applyAlignment="1">
      <alignment vertical="center"/>
    </xf>
    <xf numFmtId="165" fontId="12" fillId="26" borderId="62" xfId="0" applyNumberFormat="1" applyFont="1" applyFill="1" applyBorder="1" applyAlignment="1">
      <alignment vertical="center"/>
    </xf>
    <xf numFmtId="165" fontId="12" fillId="30" borderId="62" xfId="0" applyNumberFormat="1" applyFont="1" applyFill="1" applyBorder="1" applyAlignment="1">
      <alignment vertical="center"/>
    </xf>
    <xf numFmtId="165" fontId="30" fillId="27" borderId="63" xfId="0" applyNumberFormat="1" applyFont="1" applyFill="1" applyBorder="1" applyAlignment="1">
      <alignment vertical="center"/>
    </xf>
    <xf numFmtId="2" fontId="12" fillId="30" borderId="51" xfId="0" applyNumberFormat="1" applyFont="1" applyFill="1" applyBorder="1" applyAlignment="1">
      <alignment vertical="center"/>
    </xf>
    <xf numFmtId="0" fontId="0" fillId="2" borderId="0" xfId="0" applyFill="1" applyAlignment="1">
      <alignment vertical="top" wrapText="1"/>
    </xf>
    <xf numFmtId="0" fontId="0" fillId="49" borderId="0" xfId="0" applyFill="1"/>
    <xf numFmtId="0" fontId="0" fillId="41" borderId="0" xfId="0" applyFill="1" applyAlignment="1">
      <alignment wrapText="1"/>
    </xf>
    <xf numFmtId="0" fontId="0" fillId="18" borderId="0" xfId="0" applyFill="1" applyAlignment="1">
      <alignment wrapText="1"/>
    </xf>
    <xf numFmtId="0" fontId="0" fillId="41" borderId="0" xfId="0" applyFill="1" applyAlignment="1">
      <alignment vertical="center" wrapText="1"/>
    </xf>
    <xf numFmtId="0" fontId="0" fillId="41" borderId="0" xfId="0" applyFill="1" applyAlignment="1">
      <alignment vertical="center"/>
    </xf>
    <xf numFmtId="0" fontId="9" fillId="41" borderId="0" xfId="0" applyFont="1" applyFill="1" applyAlignment="1">
      <alignment vertical="center"/>
    </xf>
    <xf numFmtId="0" fontId="4" fillId="44" borderId="6" xfId="0" applyFont="1" applyFill="1" applyBorder="1" applyAlignment="1">
      <alignment horizontal="center" vertical="center"/>
    </xf>
    <xf numFmtId="0" fontId="4" fillId="44" borderId="7" xfId="0" applyFont="1" applyFill="1" applyBorder="1" applyAlignment="1">
      <alignment horizontal="center" vertical="center"/>
    </xf>
    <xf numFmtId="0" fontId="4" fillId="44" borderId="9" xfId="0" applyFont="1" applyFill="1" applyBorder="1" applyAlignment="1">
      <alignment horizontal="center" vertical="center"/>
    </xf>
    <xf numFmtId="0" fontId="4" fillId="44" borderId="16" xfId="0" applyFont="1" applyFill="1" applyBorder="1" applyAlignment="1">
      <alignment horizontal="center" vertical="center"/>
    </xf>
    <xf numFmtId="0" fontId="4" fillId="44" borderId="13" xfId="0" applyFont="1" applyFill="1" applyBorder="1" applyAlignment="1">
      <alignment horizontal="center" vertical="center"/>
    </xf>
    <xf numFmtId="0" fontId="4" fillId="44" borderId="23" xfId="0" applyFont="1" applyFill="1" applyBorder="1" applyAlignment="1">
      <alignment horizontal="center" vertical="center"/>
    </xf>
    <xf numFmtId="0" fontId="4" fillId="44" borderId="14" xfId="0" applyFont="1" applyFill="1" applyBorder="1" applyAlignment="1">
      <alignment horizontal="center" vertical="center"/>
    </xf>
    <xf numFmtId="0" fontId="4" fillId="44" borderId="8" xfId="0" applyFont="1" applyFill="1" applyBorder="1" applyAlignment="1">
      <alignment horizontal="center" vertical="center"/>
    </xf>
    <xf numFmtId="0" fontId="16" fillId="44" borderId="7" xfId="0" applyFont="1" applyFill="1" applyBorder="1" applyAlignment="1">
      <alignment vertical="center"/>
    </xf>
    <xf numFmtId="0" fontId="16" fillId="44" borderId="4" xfId="0" quotePrefix="1" applyFont="1" applyFill="1" applyBorder="1" applyAlignment="1">
      <alignment horizontal="center" vertical="center"/>
    </xf>
    <xf numFmtId="0" fontId="16" fillId="44" borderId="4" xfId="0" quotePrefix="1" applyFont="1" applyFill="1" applyBorder="1" applyAlignment="1">
      <alignment vertical="center"/>
    </xf>
    <xf numFmtId="0" fontId="16" fillId="44" borderId="4" xfId="0" applyFont="1" applyFill="1" applyBorder="1" applyAlignment="1">
      <alignment vertical="center"/>
    </xf>
    <xf numFmtId="0" fontId="16" fillId="44" borderId="4" xfId="0" applyFont="1" applyFill="1" applyBorder="1" applyAlignment="1">
      <alignment vertical="center" wrapText="1"/>
    </xf>
    <xf numFmtId="0" fontId="16" fillId="37" borderId="13" xfId="0" applyFont="1" applyFill="1" applyBorder="1" applyAlignment="1">
      <alignment vertical="center"/>
    </xf>
    <xf numFmtId="0" fontId="16" fillId="37" borderId="7" xfId="0" applyFont="1" applyFill="1" applyBorder="1" applyAlignment="1">
      <alignment vertical="center"/>
    </xf>
    <xf numFmtId="0" fontId="16" fillId="8" borderId="13" xfId="0" applyFont="1" applyFill="1" applyBorder="1" applyAlignment="1">
      <alignment vertical="center"/>
    </xf>
    <xf numFmtId="0" fontId="16" fillId="8" borderId="7" xfId="0" applyFont="1" applyFill="1" applyBorder="1" applyAlignment="1">
      <alignment vertical="center"/>
    </xf>
    <xf numFmtId="0" fontId="0" fillId="18" borderId="0" xfId="0" applyFill="1" applyAlignment="1">
      <alignment vertical="center" wrapText="1"/>
    </xf>
    <xf numFmtId="0" fontId="9" fillId="18" borderId="0" xfId="0" applyFont="1" applyFill="1" applyAlignment="1">
      <alignment vertical="center"/>
    </xf>
    <xf numFmtId="165" fontId="16" fillId="0" borderId="83" xfId="0" applyNumberFormat="1" applyFont="1" applyBorder="1" applyAlignment="1">
      <alignment vertical="center" wrapText="1"/>
    </xf>
    <xf numFmtId="165" fontId="16" fillId="0" borderId="9" xfId="0" applyNumberFormat="1" applyFont="1" applyBorder="1" applyAlignment="1">
      <alignment vertical="center" wrapText="1"/>
    </xf>
    <xf numFmtId="0" fontId="12" fillId="6" borderId="52" xfId="0" applyFont="1" applyFill="1" applyBorder="1" applyAlignment="1">
      <alignment vertical="center"/>
    </xf>
    <xf numFmtId="1" fontId="63" fillId="51" borderId="7" xfId="0" applyNumberFormat="1" applyFont="1" applyFill="1" applyBorder="1" applyAlignment="1">
      <alignment vertical="center" wrapText="1"/>
    </xf>
    <xf numFmtId="1" fontId="64" fillId="52" borderId="7" xfId="0" applyNumberFormat="1" applyFont="1" applyFill="1" applyBorder="1" applyAlignment="1">
      <alignment vertical="center" wrapText="1"/>
    </xf>
    <xf numFmtId="1" fontId="63" fillId="53" borderId="7" xfId="0" applyNumberFormat="1" applyFont="1" applyFill="1" applyBorder="1" applyAlignment="1">
      <alignment vertical="center" wrapText="1"/>
    </xf>
    <xf numFmtId="1" fontId="16" fillId="29" borderId="57" xfId="0" applyNumberFormat="1" applyFont="1" applyFill="1" applyBorder="1" applyAlignment="1">
      <alignment vertical="center"/>
    </xf>
    <xf numFmtId="1" fontId="16" fillId="29" borderId="51" xfId="0" applyNumberFormat="1" applyFont="1" applyFill="1" applyBorder="1" applyAlignment="1">
      <alignment vertical="center"/>
    </xf>
    <xf numFmtId="165" fontId="16" fillId="29" borderId="51" xfId="0" applyNumberFormat="1" applyFont="1" applyFill="1" applyBorder="1" applyAlignment="1">
      <alignment vertical="center"/>
    </xf>
    <xf numFmtId="1" fontId="12" fillId="26" borderId="52" xfId="0" applyNumberFormat="1" applyFont="1" applyFill="1" applyBorder="1" applyAlignment="1">
      <alignment vertical="center"/>
    </xf>
    <xf numFmtId="0" fontId="12" fillId="30" borderId="58" xfId="0" applyFont="1" applyFill="1" applyBorder="1" applyAlignment="1">
      <alignment vertical="center"/>
    </xf>
    <xf numFmtId="0" fontId="30" fillId="27" borderId="74" xfId="0" applyFont="1" applyFill="1" applyBorder="1" applyAlignment="1">
      <alignment vertical="center"/>
    </xf>
    <xf numFmtId="1" fontId="12" fillId="26" borderId="58" xfId="0" applyNumberFormat="1" applyFont="1" applyFill="1" applyBorder="1" applyAlignment="1">
      <alignment vertical="center"/>
    </xf>
    <xf numFmtId="1" fontId="12" fillId="26" borderId="55" xfId="0" applyNumberFormat="1" applyFont="1" applyFill="1" applyBorder="1" applyAlignment="1">
      <alignment vertical="center"/>
    </xf>
    <xf numFmtId="165" fontId="12" fillId="26" borderId="50" xfId="0" applyNumberFormat="1" applyFont="1" applyFill="1" applyBorder="1" applyAlignment="1">
      <alignment vertical="center"/>
    </xf>
    <xf numFmtId="165" fontId="12" fillId="26" borderId="55" xfId="0" applyNumberFormat="1" applyFont="1" applyFill="1" applyBorder="1" applyAlignment="1">
      <alignment vertical="center"/>
    </xf>
    <xf numFmtId="1" fontId="63" fillId="51" borderId="13" xfId="0" applyNumberFormat="1" applyFont="1" applyFill="1" applyBorder="1" applyAlignment="1">
      <alignment vertical="center" wrapText="1"/>
    </xf>
    <xf numFmtId="1" fontId="64" fillId="52" borderId="13" xfId="0" applyNumberFormat="1" applyFont="1" applyFill="1" applyBorder="1" applyAlignment="1">
      <alignment vertical="center" wrapText="1"/>
    </xf>
    <xf numFmtId="1" fontId="63" fillId="53" borderId="13" xfId="0" applyNumberFormat="1" applyFont="1" applyFill="1" applyBorder="1" applyAlignment="1">
      <alignment vertical="center" wrapText="1"/>
    </xf>
    <xf numFmtId="1" fontId="63" fillId="51" borderId="4" xfId="0" applyNumberFormat="1" applyFont="1" applyFill="1" applyBorder="1" applyAlignment="1">
      <alignment vertical="center" wrapText="1"/>
    </xf>
    <xf numFmtId="1" fontId="64" fillId="52" borderId="4" xfId="0" applyNumberFormat="1" applyFont="1" applyFill="1" applyBorder="1" applyAlignment="1">
      <alignment vertical="center" wrapText="1"/>
    </xf>
    <xf numFmtId="1" fontId="63" fillId="53" borderId="4" xfId="0" applyNumberFormat="1" applyFont="1" applyFill="1" applyBorder="1" applyAlignment="1">
      <alignment vertical="center" wrapText="1"/>
    </xf>
    <xf numFmtId="0" fontId="65" fillId="32" borderId="4" xfId="0" applyFont="1" applyFill="1" applyBorder="1" applyAlignment="1">
      <alignment vertical="center" wrapText="1"/>
    </xf>
    <xf numFmtId="0" fontId="65" fillId="32" borderId="13" xfId="0" applyFont="1" applyFill="1" applyBorder="1" applyAlignment="1">
      <alignment vertical="center" wrapText="1"/>
    </xf>
    <xf numFmtId="0" fontId="65" fillId="26" borderId="51" xfId="0" applyFont="1" applyFill="1" applyBorder="1" applyAlignment="1">
      <alignment vertical="center" wrapText="1"/>
    </xf>
    <xf numFmtId="0" fontId="4" fillId="0" borderId="21" xfId="0" applyFont="1" applyBorder="1" applyAlignment="1">
      <alignment horizontal="center" vertical="center"/>
    </xf>
    <xf numFmtId="0" fontId="0" fillId="0" borderId="56" xfId="0" applyBorder="1"/>
    <xf numFmtId="0" fontId="0" fillId="0" borderId="37" xfId="0" applyBorder="1"/>
    <xf numFmtId="0" fontId="0" fillId="0" borderId="66" xfId="0" applyBorder="1"/>
    <xf numFmtId="0" fontId="30" fillId="18" borderId="54" xfId="0" applyFont="1" applyFill="1" applyBorder="1" applyAlignment="1">
      <alignment vertical="center" wrapText="1"/>
    </xf>
    <xf numFmtId="0" fontId="16" fillId="0" borderId="40" xfId="0" applyFont="1" applyBorder="1" applyAlignment="1">
      <alignment vertical="center"/>
    </xf>
    <xf numFmtId="0" fontId="16" fillId="0" borderId="7" xfId="0" quotePrefix="1" applyFont="1" applyBorder="1" applyAlignment="1">
      <alignment horizontal="center" vertical="center"/>
    </xf>
    <xf numFmtId="0" fontId="21" fillId="22" borderId="10" xfId="0" applyFont="1" applyFill="1" applyBorder="1" applyAlignment="1">
      <alignment vertical="center" wrapText="1"/>
    </xf>
    <xf numFmtId="0" fontId="12" fillId="2" borderId="0" xfId="0" applyFont="1" applyFill="1" applyAlignment="1">
      <alignment horizontal="center" vertical="center" textRotation="90" wrapText="1"/>
    </xf>
    <xf numFmtId="0" fontId="66" fillId="0" borderId="13" xfId="0" applyFont="1" applyBorder="1" applyAlignment="1">
      <alignment vertical="center" wrapText="1"/>
    </xf>
    <xf numFmtId="0" fontId="65" fillId="0" borderId="13" xfId="0" applyFont="1" applyBorder="1" applyAlignment="1">
      <alignment vertical="center" wrapText="1"/>
    </xf>
    <xf numFmtId="0" fontId="65" fillId="28" borderId="13" xfId="0" applyFont="1" applyFill="1" applyBorder="1" applyAlignment="1">
      <alignment vertical="center" wrapText="1"/>
    </xf>
    <xf numFmtId="0" fontId="66" fillId="28" borderId="13" xfId="0" applyFont="1" applyFill="1" applyBorder="1" applyAlignment="1">
      <alignment vertical="center" wrapText="1"/>
    </xf>
    <xf numFmtId="0" fontId="65" fillId="18" borderId="39" xfId="0" applyFont="1" applyFill="1" applyBorder="1" applyAlignment="1">
      <alignment vertical="center" wrapText="1"/>
    </xf>
    <xf numFmtId="0" fontId="12" fillId="23" borderId="7" xfId="0" applyFont="1" applyFill="1" applyBorder="1" applyAlignment="1">
      <alignment horizontal="center" vertical="center"/>
    </xf>
    <xf numFmtId="0" fontId="68" fillId="22" borderId="16" xfId="0" applyFont="1" applyFill="1" applyBorder="1" applyAlignment="1">
      <alignment vertical="center" textRotation="90" wrapText="1"/>
    </xf>
    <xf numFmtId="0" fontId="68" fillId="0" borderId="7" xfId="0" applyFont="1" applyBorder="1" applyAlignment="1">
      <alignment vertical="center" wrapText="1"/>
    </xf>
    <xf numFmtId="0" fontId="69" fillId="0" borderId="0" xfId="0" applyFont="1"/>
    <xf numFmtId="0" fontId="65" fillId="18" borderId="84" xfId="0" applyFont="1" applyFill="1" applyBorder="1" applyAlignment="1">
      <alignment vertical="center" wrapText="1"/>
    </xf>
    <xf numFmtId="0" fontId="12" fillId="26" borderId="7" xfId="0" applyFont="1" applyFill="1" applyBorder="1" applyAlignment="1">
      <alignment horizontal="center" vertical="center"/>
    </xf>
    <xf numFmtId="0" fontId="30" fillId="18" borderId="7" xfId="0" applyFont="1" applyFill="1" applyBorder="1" applyAlignment="1">
      <alignment vertical="center" wrapText="1"/>
    </xf>
    <xf numFmtId="0" fontId="16" fillId="29" borderId="7" xfId="0" applyFont="1" applyFill="1" applyBorder="1" applyAlignment="1">
      <alignment vertical="center"/>
    </xf>
    <xf numFmtId="0" fontId="16" fillId="6" borderId="7" xfId="0" applyFont="1" applyFill="1" applyBorder="1" applyAlignment="1">
      <alignment vertical="center"/>
    </xf>
    <xf numFmtId="0" fontId="16" fillId="26" borderId="7" xfId="0" applyFont="1" applyFill="1" applyBorder="1" applyAlignment="1">
      <alignment vertical="center"/>
    </xf>
    <xf numFmtId="0" fontId="12" fillId="2" borderId="13" xfId="0" applyFont="1" applyFill="1" applyBorder="1" applyAlignment="1">
      <alignment horizontal="center" vertical="top" wrapText="1"/>
    </xf>
    <xf numFmtId="0" fontId="65" fillId="18" borderId="13" xfId="0" applyFont="1" applyFill="1" applyBorder="1" applyAlignment="1">
      <alignment vertical="center" wrapText="1"/>
    </xf>
    <xf numFmtId="0" fontId="66" fillId="33" borderId="13" xfId="0" applyFont="1" applyFill="1" applyBorder="1" applyAlignment="1">
      <alignment vertical="center" wrapText="1"/>
    </xf>
    <xf numFmtId="0" fontId="66" fillId="32" borderId="13" xfId="0" applyFont="1" applyFill="1" applyBorder="1" applyAlignment="1">
      <alignment vertical="center" wrapText="1"/>
    </xf>
    <xf numFmtId="0" fontId="65" fillId="8" borderId="13" xfId="0" applyFont="1" applyFill="1" applyBorder="1" applyAlignment="1">
      <alignment vertical="center" wrapText="1"/>
    </xf>
    <xf numFmtId="0" fontId="65" fillId="0" borderId="39" xfId="0" applyFont="1" applyBorder="1" applyAlignment="1">
      <alignment vertical="center" wrapText="1"/>
    </xf>
    <xf numFmtId="0" fontId="65" fillId="0" borderId="1" xfId="0" applyFont="1" applyBorder="1" applyAlignment="1">
      <alignment vertical="center" wrapText="1"/>
    </xf>
    <xf numFmtId="0" fontId="66" fillId="18" borderId="1" xfId="0" applyFont="1" applyFill="1" applyBorder="1" applyAlignment="1">
      <alignment vertical="center" wrapText="1"/>
    </xf>
    <xf numFmtId="0" fontId="66" fillId="31" borderId="13" xfId="0" applyFont="1" applyFill="1" applyBorder="1" applyAlignment="1">
      <alignment vertical="center" wrapText="1"/>
    </xf>
    <xf numFmtId="0" fontId="65" fillId="31" borderId="13" xfId="0" applyFont="1" applyFill="1" applyBorder="1" applyAlignment="1">
      <alignment vertical="center" wrapText="1"/>
    </xf>
    <xf numFmtId="0" fontId="65" fillId="29" borderId="39" xfId="0" applyFont="1" applyFill="1" applyBorder="1" applyAlignment="1">
      <alignment vertical="center" wrapText="1"/>
    </xf>
    <xf numFmtId="0" fontId="66" fillId="0" borderId="39" xfId="0" applyFont="1" applyBorder="1" applyAlignment="1">
      <alignment vertical="center" wrapText="1"/>
    </xf>
    <xf numFmtId="0" fontId="65" fillId="41" borderId="13" xfId="0" applyFont="1" applyFill="1" applyBorder="1" applyAlignment="1">
      <alignment vertical="center" wrapText="1"/>
    </xf>
    <xf numFmtId="0" fontId="66" fillId="8" borderId="13" xfId="0" applyFont="1" applyFill="1" applyBorder="1" applyAlignment="1">
      <alignment vertical="center" wrapText="1"/>
    </xf>
    <xf numFmtId="0" fontId="65" fillId="21" borderId="1" xfId="0" applyFont="1" applyFill="1" applyBorder="1" applyAlignment="1">
      <alignment vertical="center" wrapText="1"/>
    </xf>
    <xf numFmtId="0" fontId="65" fillId="6" borderId="39" xfId="0" applyFont="1" applyFill="1" applyBorder="1" applyAlignment="1">
      <alignment vertical="center" wrapText="1"/>
    </xf>
    <xf numFmtId="0" fontId="65" fillId="26" borderId="39" xfId="0" applyFont="1" applyFill="1" applyBorder="1" applyAlignment="1">
      <alignment vertical="center" wrapText="1"/>
    </xf>
    <xf numFmtId="0" fontId="0" fillId="0" borderId="4" xfId="0" applyBorder="1"/>
    <xf numFmtId="0" fontId="68" fillId="4" borderId="7" xfId="0" applyFont="1" applyFill="1" applyBorder="1" applyAlignment="1">
      <alignment vertical="center" wrapText="1"/>
    </xf>
    <xf numFmtId="0" fontId="13" fillId="0" borderId="0" xfId="0" applyFont="1"/>
    <xf numFmtId="0" fontId="28" fillId="26" borderId="7" xfId="0" applyFont="1" applyFill="1" applyBorder="1" applyAlignment="1">
      <alignment horizontal="center" vertical="center"/>
    </xf>
    <xf numFmtId="0" fontId="4" fillId="54" borderId="7" xfId="0" applyFont="1" applyFill="1" applyBorder="1" applyAlignment="1">
      <alignment horizontal="center" vertical="center"/>
    </xf>
    <xf numFmtId="0" fontId="12" fillId="18" borderId="7" xfId="0" applyFont="1" applyFill="1" applyBorder="1" applyAlignment="1">
      <alignment horizontal="center" vertical="center"/>
    </xf>
    <xf numFmtId="0" fontId="30" fillId="18" borderId="6" xfId="0" applyFont="1" applyFill="1" applyBorder="1" applyAlignment="1">
      <alignment vertical="center" wrapText="1"/>
    </xf>
    <xf numFmtId="0" fontId="30" fillId="18" borderId="8" xfId="0" applyFont="1" applyFill="1" applyBorder="1" applyAlignment="1">
      <alignment vertical="center" wrapText="1"/>
    </xf>
    <xf numFmtId="0" fontId="16" fillId="29" borderId="6" xfId="0" applyFont="1" applyFill="1" applyBorder="1" applyAlignment="1">
      <alignment vertical="center"/>
    </xf>
    <xf numFmtId="0" fontId="16" fillId="29" borderId="8" xfId="0" applyFont="1" applyFill="1" applyBorder="1" applyAlignment="1">
      <alignment vertical="center"/>
    </xf>
    <xf numFmtId="0" fontId="16" fillId="6" borderId="6" xfId="0" applyFont="1" applyFill="1" applyBorder="1" applyAlignment="1">
      <alignment vertical="center"/>
    </xf>
    <xf numFmtId="0" fontId="16" fillId="6" borderId="8" xfId="0" applyFont="1" applyFill="1" applyBorder="1" applyAlignment="1">
      <alignment vertical="center"/>
    </xf>
    <xf numFmtId="0" fontId="16" fillId="26" borderId="6" xfId="0" applyFont="1" applyFill="1" applyBorder="1" applyAlignment="1">
      <alignment vertical="center"/>
    </xf>
    <xf numFmtId="0" fontId="16" fillId="26" borderId="8" xfId="0" applyFont="1" applyFill="1" applyBorder="1" applyAlignment="1">
      <alignment vertical="center"/>
    </xf>
    <xf numFmtId="0" fontId="30" fillId="18" borderId="57" xfId="0" applyFont="1" applyFill="1" applyBorder="1" applyAlignment="1">
      <alignment vertical="center" wrapText="1"/>
    </xf>
    <xf numFmtId="0" fontId="2" fillId="32" borderId="4" xfId="0" applyFont="1" applyFill="1" applyBorder="1" applyAlignment="1">
      <alignment vertical="center" wrapText="1"/>
    </xf>
    <xf numFmtId="0" fontId="0" fillId="55" borderId="0" xfId="0" applyFill="1" applyAlignment="1">
      <alignment vertical="center" wrapText="1"/>
    </xf>
    <xf numFmtId="0" fontId="0" fillId="55" borderId="0" xfId="0" applyFill="1" applyAlignment="1">
      <alignment vertical="center"/>
    </xf>
    <xf numFmtId="0" fontId="0" fillId="55" borderId="0" xfId="0" applyFill="1" applyAlignment="1">
      <alignment wrapText="1"/>
    </xf>
    <xf numFmtId="0" fontId="9" fillId="55" borderId="0" xfId="0" applyFont="1" applyFill="1" applyAlignment="1">
      <alignment vertical="center"/>
    </xf>
    <xf numFmtId="0" fontId="0" fillId="55" borderId="0" xfId="0" applyFill="1"/>
    <xf numFmtId="0" fontId="1" fillId="0" borderId="7" xfId="0" applyFont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4" fillId="26" borderId="7" xfId="0" applyFont="1" applyFill="1" applyBorder="1" applyAlignment="1">
      <alignment horizontal="center" wrapText="1"/>
    </xf>
    <xf numFmtId="0" fontId="4" fillId="26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1" fillId="0" borderId="7" xfId="0" applyFont="1" applyFill="1" applyBorder="1" applyAlignment="1">
      <alignment vertical="center" wrapText="1"/>
    </xf>
    <xf numFmtId="0" fontId="21" fillId="0" borderId="13" xfId="0" applyFont="1" applyFill="1" applyBorder="1" applyAlignment="1">
      <alignment vertical="center" wrapText="1"/>
    </xf>
    <xf numFmtId="0" fontId="16" fillId="0" borderId="13" xfId="0" applyFont="1" applyFill="1" applyBorder="1" applyAlignment="1">
      <alignment vertical="center" wrapText="1"/>
    </xf>
    <xf numFmtId="0" fontId="16" fillId="0" borderId="8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3" fillId="26" borderId="7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vertical="center" wrapText="1"/>
    </xf>
    <xf numFmtId="0" fontId="16" fillId="0" borderId="42" xfId="0" applyFont="1" applyFill="1" applyBorder="1" applyAlignment="1">
      <alignment vertical="center" wrapText="1"/>
    </xf>
    <xf numFmtId="0" fontId="23" fillId="41" borderId="0" xfId="0" applyFont="1" applyFill="1" applyAlignment="1">
      <alignment vertical="center" wrapText="1"/>
    </xf>
    <xf numFmtId="0" fontId="23" fillId="41" borderId="0" xfId="0" applyFont="1" applyFill="1" applyAlignment="1">
      <alignment vertical="center"/>
    </xf>
    <xf numFmtId="0" fontId="23" fillId="41" borderId="0" xfId="0" applyFont="1" applyFill="1" applyAlignment="1">
      <alignment wrapText="1"/>
    </xf>
    <xf numFmtId="0" fontId="16" fillId="26" borderId="7" xfId="0" applyFont="1" applyFill="1" applyBorder="1" applyAlignment="1">
      <alignment vertical="center" wrapText="1"/>
    </xf>
    <xf numFmtId="0" fontId="70" fillId="32" borderId="13" xfId="0" applyFont="1" applyFill="1" applyBorder="1" applyAlignment="1">
      <alignment vertical="center" wrapText="1"/>
    </xf>
    <xf numFmtId="0" fontId="21" fillId="32" borderId="13" xfId="0" applyFont="1" applyFill="1" applyBorder="1" applyAlignment="1">
      <alignment vertical="center" wrapText="1"/>
    </xf>
    <xf numFmtId="0" fontId="71" fillId="18" borderId="4" xfId="0" applyFont="1" applyFill="1" applyBorder="1" applyAlignment="1">
      <alignment vertical="center" wrapText="1"/>
    </xf>
    <xf numFmtId="0" fontId="1" fillId="32" borderId="4" xfId="0" applyFont="1" applyFill="1" applyBorder="1" applyAlignment="1">
      <alignment vertical="center" wrapText="1"/>
    </xf>
    <xf numFmtId="0" fontId="1" fillId="32" borderId="7" xfId="0" applyFont="1" applyFill="1" applyBorder="1" applyAlignment="1">
      <alignment vertical="center" wrapText="1"/>
    </xf>
    <xf numFmtId="0" fontId="1" fillId="32" borderId="13" xfId="0" applyFont="1" applyFill="1" applyBorder="1" applyAlignment="1">
      <alignment vertical="center" wrapText="1"/>
    </xf>
    <xf numFmtId="2" fontId="4" fillId="17" borderId="7" xfId="0" applyNumberFormat="1" applyFont="1" applyFill="1" applyBorder="1" applyAlignment="1">
      <alignment wrapText="1"/>
    </xf>
    <xf numFmtId="2" fontId="13" fillId="17" borderId="7" xfId="0" applyNumberFormat="1" applyFont="1" applyFill="1" applyBorder="1" applyAlignment="1">
      <alignment wrapText="1"/>
    </xf>
    <xf numFmtId="0" fontId="1" fillId="28" borderId="7" xfId="0" applyFont="1" applyFill="1" applyBorder="1" applyAlignment="1">
      <alignment vertical="center" wrapText="1"/>
    </xf>
    <xf numFmtId="0" fontId="16" fillId="0" borderId="31" xfId="0" applyFont="1" applyBorder="1" applyAlignment="1">
      <alignment vertical="center"/>
    </xf>
    <xf numFmtId="0" fontId="17" fillId="32" borderId="4" xfId="0" applyFont="1" applyFill="1" applyBorder="1" applyAlignment="1">
      <alignment vertical="center" wrapText="1"/>
    </xf>
    <xf numFmtId="0" fontId="66" fillId="32" borderId="7" xfId="0" applyFont="1" applyFill="1" applyBorder="1" applyAlignment="1">
      <alignment vertical="center" wrapText="1"/>
    </xf>
    <xf numFmtId="0" fontId="67" fillId="32" borderId="4" xfId="0" applyFont="1" applyFill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0" fontId="17" fillId="0" borderId="7" xfId="0" applyFont="1" applyFill="1" applyBorder="1" applyAlignment="1">
      <alignment vertical="center" wrapText="1"/>
    </xf>
    <xf numFmtId="0" fontId="13" fillId="13" borderId="11" xfId="0" applyFont="1" applyFill="1" applyBorder="1" applyAlignment="1">
      <alignment horizontal="center"/>
    </xf>
    <xf numFmtId="0" fontId="9" fillId="8" borderId="23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9" fillId="8" borderId="35" xfId="0" applyFont="1" applyFill="1" applyBorder="1" applyAlignment="1">
      <alignment horizontal="center" vertical="center"/>
    </xf>
    <xf numFmtId="0" fontId="9" fillId="8" borderId="31" xfId="0" applyFont="1" applyFill="1" applyBorder="1" applyAlignment="1">
      <alignment horizontal="center" vertical="center"/>
    </xf>
    <xf numFmtId="0" fontId="9" fillId="8" borderId="10" xfId="0" applyFont="1" applyFill="1" applyBorder="1" applyAlignment="1">
      <alignment horizontal="center" vertical="center"/>
    </xf>
    <xf numFmtId="0" fontId="9" fillId="31" borderId="30" xfId="0" applyFont="1" applyFill="1" applyBorder="1" applyAlignment="1">
      <alignment horizontal="center" vertical="center" wrapText="1"/>
    </xf>
    <xf numFmtId="0" fontId="9" fillId="31" borderId="31" xfId="0" applyFont="1" applyFill="1" applyBorder="1" applyAlignment="1">
      <alignment horizontal="center" vertical="center" wrapText="1"/>
    </xf>
    <xf numFmtId="0" fontId="9" fillId="8" borderId="31" xfId="0" applyFont="1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9" fillId="8" borderId="10" xfId="0" applyFont="1" applyFill="1" applyBorder="1" applyAlignment="1">
      <alignment horizontal="center" vertical="center" wrapText="1"/>
    </xf>
    <xf numFmtId="0" fontId="9" fillId="8" borderId="30" xfId="0" applyFont="1" applyFill="1" applyBorder="1" applyAlignment="1">
      <alignment horizontal="center" vertical="center" wrapText="1"/>
    </xf>
    <xf numFmtId="0" fontId="9" fillId="8" borderId="61" xfId="0" applyFont="1" applyFill="1" applyBorder="1" applyAlignment="1">
      <alignment horizontal="center" vertical="center" wrapText="1"/>
    </xf>
    <xf numFmtId="0" fontId="9" fillId="8" borderId="19" xfId="0" applyFont="1" applyFill="1" applyBorder="1" applyAlignment="1">
      <alignment horizontal="center" vertical="center" wrapText="1"/>
    </xf>
    <xf numFmtId="0" fontId="0" fillId="8" borderId="31" xfId="0" applyFill="1" applyBorder="1" applyAlignment="1">
      <alignment horizontal="center" wrapText="1"/>
    </xf>
    <xf numFmtId="0" fontId="0" fillId="8" borderId="35" xfId="0" applyFill="1" applyBorder="1" applyAlignment="1">
      <alignment horizontal="center" wrapText="1"/>
    </xf>
    <xf numFmtId="0" fontId="0" fillId="31" borderId="10" xfId="0" applyFill="1" applyBorder="1" applyAlignment="1">
      <alignment horizontal="center" wrapText="1"/>
    </xf>
    <xf numFmtId="0" fontId="0" fillId="31" borderId="24" xfId="0" applyFill="1" applyBorder="1" applyAlignment="1">
      <alignment horizontal="center" wrapText="1"/>
    </xf>
    <xf numFmtId="0" fontId="12" fillId="26" borderId="42" xfId="0" applyFont="1" applyFill="1" applyBorder="1" applyAlignment="1">
      <alignment vertical="center"/>
    </xf>
    <xf numFmtId="0" fontId="13" fillId="30" borderId="82" xfId="0" applyFont="1" applyFill="1" applyBorder="1" applyAlignment="1">
      <alignment horizontal="center" vertical="center" wrapText="1"/>
    </xf>
    <xf numFmtId="0" fontId="13" fillId="30" borderId="67" xfId="0" applyFont="1" applyFill="1" applyBorder="1" applyAlignment="1">
      <alignment horizontal="center" vertical="center" wrapText="1"/>
    </xf>
    <xf numFmtId="0" fontId="13" fillId="30" borderId="74" xfId="0" applyFont="1" applyFill="1" applyBorder="1" applyAlignment="1">
      <alignment horizontal="center" vertical="center" wrapText="1"/>
    </xf>
    <xf numFmtId="0" fontId="13" fillId="30" borderId="14" xfId="0" applyFont="1" applyFill="1" applyBorder="1" applyAlignment="1">
      <alignment horizontal="center" vertical="center" wrapText="1"/>
    </xf>
    <xf numFmtId="0" fontId="13" fillId="30" borderId="15" xfId="0" applyFont="1" applyFill="1" applyBorder="1" applyAlignment="1">
      <alignment horizontal="center" vertical="center" wrapText="1"/>
    </xf>
    <xf numFmtId="0" fontId="13" fillId="30" borderId="33" xfId="0" applyFont="1" applyFill="1" applyBorder="1" applyAlignment="1">
      <alignment horizontal="center" vertical="center" wrapText="1"/>
    </xf>
    <xf numFmtId="0" fontId="40" fillId="17" borderId="9" xfId="0" applyFont="1" applyFill="1" applyBorder="1" applyAlignment="1">
      <alignment horizontal="left" wrapText="1"/>
    </xf>
    <xf numFmtId="0" fontId="40" fillId="17" borderId="31" xfId="0" applyFont="1" applyFill="1" applyBorder="1" applyAlignment="1">
      <alignment horizontal="left" wrapText="1"/>
    </xf>
    <xf numFmtId="0" fontId="40" fillId="17" borderId="10" xfId="0" applyFont="1" applyFill="1" applyBorder="1" applyAlignment="1">
      <alignment horizontal="left" wrapText="1"/>
    </xf>
    <xf numFmtId="0" fontId="4" fillId="32" borderId="7" xfId="0" applyFont="1" applyFill="1" applyBorder="1" applyAlignment="1">
      <alignment horizontal="left" wrapText="1"/>
    </xf>
    <xf numFmtId="0" fontId="8" fillId="45" borderId="18" xfId="0" applyFont="1" applyFill="1" applyBorder="1" applyAlignment="1">
      <alignment horizontal="center" vertical="center" wrapText="1"/>
    </xf>
    <xf numFmtId="0" fontId="8" fillId="45" borderId="19" xfId="0" applyFont="1" applyFill="1" applyBorder="1" applyAlignment="1">
      <alignment horizontal="center" vertical="center" wrapText="1"/>
    </xf>
    <xf numFmtId="0" fontId="8" fillId="45" borderId="20" xfId="0" applyFont="1" applyFill="1" applyBorder="1" applyAlignment="1">
      <alignment horizontal="center" vertical="center" wrapText="1"/>
    </xf>
    <xf numFmtId="0" fontId="8" fillId="46" borderId="18" xfId="0" applyFont="1" applyFill="1" applyBorder="1" applyAlignment="1">
      <alignment horizontal="center" vertical="center" wrapText="1"/>
    </xf>
    <xf numFmtId="0" fontId="8" fillId="46" borderId="19" xfId="0" applyFont="1" applyFill="1" applyBorder="1" applyAlignment="1">
      <alignment horizontal="center" vertical="center" wrapText="1"/>
    </xf>
    <xf numFmtId="0" fontId="8" fillId="46" borderId="20" xfId="0" applyFont="1" applyFill="1" applyBorder="1" applyAlignment="1">
      <alignment horizontal="center" vertical="center" wrapText="1"/>
    </xf>
    <xf numFmtId="0" fontId="13" fillId="47" borderId="19" xfId="0" applyFont="1" applyFill="1" applyBorder="1" applyAlignment="1">
      <alignment horizontal="center" vertical="center" wrapText="1"/>
    </xf>
    <xf numFmtId="0" fontId="13" fillId="30" borderId="18" xfId="0" applyFont="1" applyFill="1" applyBorder="1" applyAlignment="1">
      <alignment horizontal="center" vertical="center" wrapText="1"/>
    </xf>
    <xf numFmtId="0" fontId="13" fillId="30" borderId="20" xfId="0" applyFont="1" applyFill="1" applyBorder="1" applyAlignment="1">
      <alignment horizontal="center" vertical="center" wrapText="1"/>
    </xf>
    <xf numFmtId="0" fontId="8" fillId="45" borderId="82" xfId="0" applyFont="1" applyFill="1" applyBorder="1" applyAlignment="1">
      <alignment horizontal="center" vertical="center" wrapText="1"/>
    </xf>
    <xf numFmtId="0" fontId="8" fillId="45" borderId="67" xfId="0" applyFont="1" applyFill="1" applyBorder="1" applyAlignment="1">
      <alignment horizontal="center" vertical="center" wrapText="1"/>
    </xf>
    <xf numFmtId="0" fontId="8" fillId="45" borderId="74" xfId="0" applyFont="1" applyFill="1" applyBorder="1" applyAlignment="1">
      <alignment horizontal="center" vertical="center" wrapText="1"/>
    </xf>
    <xf numFmtId="0" fontId="8" fillId="45" borderId="13" xfId="0" applyFont="1" applyFill="1" applyBorder="1" applyAlignment="1">
      <alignment horizontal="center" vertical="center" wrapText="1"/>
    </xf>
    <xf numFmtId="0" fontId="8" fillId="45" borderId="1" xfId="0" applyFont="1" applyFill="1" applyBorder="1" applyAlignment="1">
      <alignment horizontal="center" vertical="center" wrapText="1"/>
    </xf>
    <xf numFmtId="0" fontId="8" fillId="45" borderId="42" xfId="0" applyFont="1" applyFill="1" applyBorder="1" applyAlignment="1">
      <alignment horizontal="center" vertical="center" wrapText="1"/>
    </xf>
    <xf numFmtId="0" fontId="8" fillId="45" borderId="23" xfId="0" applyFont="1" applyFill="1" applyBorder="1" applyAlignment="1">
      <alignment horizontal="center" vertical="center" wrapText="1"/>
    </xf>
    <xf numFmtId="0" fontId="8" fillId="45" borderId="45" xfId="0" applyFont="1" applyFill="1" applyBorder="1" applyAlignment="1">
      <alignment horizontal="center" vertical="center" wrapText="1"/>
    </xf>
    <xf numFmtId="0" fontId="8" fillId="45" borderId="44" xfId="0" applyFont="1" applyFill="1" applyBorder="1" applyAlignment="1">
      <alignment horizontal="center" vertical="center" wrapText="1"/>
    </xf>
    <xf numFmtId="0" fontId="58" fillId="45" borderId="14" xfId="0" applyFont="1" applyFill="1" applyBorder="1" applyAlignment="1">
      <alignment horizontal="center" vertical="center" wrapText="1"/>
    </xf>
    <xf numFmtId="0" fontId="58" fillId="45" borderId="15" xfId="0" applyFont="1" applyFill="1" applyBorder="1" applyAlignment="1">
      <alignment horizontal="center" vertical="center" wrapText="1"/>
    </xf>
    <xf numFmtId="0" fontId="58" fillId="45" borderId="33" xfId="0" applyFont="1" applyFill="1" applyBorder="1" applyAlignment="1">
      <alignment horizontal="center" vertical="center" wrapText="1"/>
    </xf>
    <xf numFmtId="0" fontId="8" fillId="46" borderId="16" xfId="0" applyFont="1" applyFill="1" applyBorder="1" applyAlignment="1">
      <alignment horizontal="center" vertical="center" wrapText="1"/>
    </xf>
    <xf numFmtId="0" fontId="8" fillId="46" borderId="40" xfId="0" applyFont="1" applyFill="1" applyBorder="1" applyAlignment="1">
      <alignment horizontal="center" vertical="center" wrapText="1"/>
    </xf>
    <xf numFmtId="0" fontId="8" fillId="46" borderId="41" xfId="0" applyFont="1" applyFill="1" applyBorder="1" applyAlignment="1">
      <alignment horizontal="center" vertical="center" wrapText="1"/>
    </xf>
    <xf numFmtId="0" fontId="8" fillId="46" borderId="13" xfId="0" applyFont="1" applyFill="1" applyBorder="1" applyAlignment="1">
      <alignment horizontal="center" vertical="center" wrapText="1"/>
    </xf>
    <xf numFmtId="0" fontId="8" fillId="46" borderId="1" xfId="0" applyFont="1" applyFill="1" applyBorder="1" applyAlignment="1">
      <alignment horizontal="center" vertical="center" wrapText="1"/>
    </xf>
    <xf numFmtId="0" fontId="8" fillId="46" borderId="42" xfId="0" applyFont="1" applyFill="1" applyBorder="1" applyAlignment="1">
      <alignment horizontal="center" vertical="center" wrapText="1"/>
    </xf>
    <xf numFmtId="0" fontId="58" fillId="46" borderId="14" xfId="0" applyFont="1" applyFill="1" applyBorder="1" applyAlignment="1">
      <alignment horizontal="center" vertical="center" wrapText="1"/>
    </xf>
    <xf numFmtId="0" fontId="58" fillId="46" borderId="15" xfId="0" applyFont="1" applyFill="1" applyBorder="1" applyAlignment="1">
      <alignment horizontal="center" vertical="center" wrapText="1"/>
    </xf>
    <xf numFmtId="0" fontId="58" fillId="46" borderId="33" xfId="0" applyFont="1" applyFill="1" applyBorder="1" applyAlignment="1">
      <alignment horizontal="center" vertical="center" wrapText="1"/>
    </xf>
    <xf numFmtId="0" fontId="13" fillId="47" borderId="21" xfId="0" applyFont="1" applyFill="1" applyBorder="1" applyAlignment="1">
      <alignment horizontal="center" vertical="center" wrapText="1"/>
    </xf>
    <xf numFmtId="0" fontId="13" fillId="47" borderId="48" xfId="0" applyFont="1" applyFill="1" applyBorder="1" applyAlignment="1">
      <alignment horizontal="center" vertical="center" wrapText="1"/>
    </xf>
    <xf numFmtId="0" fontId="13" fillId="47" borderId="43" xfId="0" applyFont="1" applyFill="1" applyBorder="1" applyAlignment="1">
      <alignment horizontal="center" vertical="center" wrapText="1"/>
    </xf>
    <xf numFmtId="0" fontId="13" fillId="47" borderId="23" xfId="0" applyFont="1" applyFill="1" applyBorder="1" applyAlignment="1">
      <alignment horizontal="center" vertical="center" wrapText="1"/>
    </xf>
    <xf numFmtId="0" fontId="13" fillId="47" borderId="45" xfId="0" applyFont="1" applyFill="1" applyBorder="1" applyAlignment="1">
      <alignment horizontal="center" vertical="center" wrapText="1"/>
    </xf>
    <xf numFmtId="0" fontId="13" fillId="47" borderId="44" xfId="0" applyFont="1" applyFill="1" applyBorder="1" applyAlignment="1">
      <alignment horizontal="center" vertical="center" wrapText="1"/>
    </xf>
    <xf numFmtId="0" fontId="39" fillId="17" borderId="9" xfId="0" applyFont="1" applyFill="1" applyBorder="1" applyAlignment="1">
      <alignment horizontal="left" wrapText="1"/>
    </xf>
    <xf numFmtId="0" fontId="39" fillId="17" borderId="31" xfId="0" applyFont="1" applyFill="1" applyBorder="1" applyAlignment="1">
      <alignment horizontal="left" wrapText="1"/>
    </xf>
    <xf numFmtId="0" fontId="39" fillId="17" borderId="10" xfId="0" applyFont="1" applyFill="1" applyBorder="1" applyAlignment="1">
      <alignment horizontal="left" wrapText="1"/>
    </xf>
    <xf numFmtId="0" fontId="39" fillId="17" borderId="17" xfId="0" applyFont="1" applyFill="1" applyBorder="1" applyAlignment="1">
      <alignment horizontal="left" wrapText="1"/>
    </xf>
    <xf numFmtId="0" fontId="39" fillId="17" borderId="61" xfId="0" applyFont="1" applyFill="1" applyBorder="1" applyAlignment="1">
      <alignment horizontal="left" wrapText="1"/>
    </xf>
    <xf numFmtId="0" fontId="39" fillId="17" borderId="24" xfId="0" applyFont="1" applyFill="1" applyBorder="1" applyAlignment="1">
      <alignment horizontal="left" wrapText="1"/>
    </xf>
    <xf numFmtId="0" fontId="40" fillId="17" borderId="17" xfId="0" applyFont="1" applyFill="1" applyBorder="1" applyAlignment="1">
      <alignment horizontal="left" wrapText="1"/>
    </xf>
    <xf numFmtId="0" fontId="40" fillId="17" borderId="61" xfId="0" applyFont="1" applyFill="1" applyBorder="1" applyAlignment="1">
      <alignment horizontal="left" wrapText="1"/>
    </xf>
    <xf numFmtId="0" fontId="40" fillId="17" borderId="24" xfId="0" applyFont="1" applyFill="1" applyBorder="1" applyAlignment="1">
      <alignment horizontal="left" wrapText="1"/>
    </xf>
    <xf numFmtId="0" fontId="40" fillId="17" borderId="3" xfId="0" applyFont="1" applyFill="1" applyBorder="1" applyAlignment="1">
      <alignment horizontal="left" wrapText="1"/>
    </xf>
    <xf numFmtId="0" fontId="40" fillId="17" borderId="30" xfId="0" applyFont="1" applyFill="1" applyBorder="1" applyAlignment="1">
      <alignment horizontal="left" wrapText="1"/>
    </xf>
    <xf numFmtId="0" fontId="40" fillId="17" borderId="22" xfId="0" applyFont="1" applyFill="1" applyBorder="1" applyAlignment="1">
      <alignment horizontal="left" wrapText="1"/>
    </xf>
    <xf numFmtId="1" fontId="13" fillId="7" borderId="13" xfId="0" applyNumberFormat="1" applyFont="1" applyFill="1" applyBorder="1" applyAlignment="1">
      <alignment horizontal="center" vertical="top" wrapText="1"/>
    </xf>
    <xf numFmtId="1" fontId="13" fillId="7" borderId="42" xfId="0" applyNumberFormat="1" applyFont="1" applyFill="1" applyBorder="1" applyAlignment="1">
      <alignment horizontal="center" vertical="top" wrapText="1"/>
    </xf>
    <xf numFmtId="0" fontId="13" fillId="7" borderId="16" xfId="0" applyFont="1" applyFill="1" applyBorder="1" applyAlignment="1">
      <alignment horizontal="center" vertical="top" wrapText="1"/>
    </xf>
    <xf numFmtId="0" fontId="13" fillId="7" borderId="41" xfId="0" applyFont="1" applyFill="1" applyBorder="1" applyAlignment="1">
      <alignment horizontal="center" vertical="top" wrapText="1"/>
    </xf>
    <xf numFmtId="0" fontId="13" fillId="7" borderId="23" xfId="0" applyFont="1" applyFill="1" applyBorder="1" applyAlignment="1">
      <alignment horizontal="center" vertical="top" wrapText="1"/>
    </xf>
    <xf numFmtId="0" fontId="13" fillId="7" borderId="44" xfId="0" applyFont="1" applyFill="1" applyBorder="1" applyAlignment="1">
      <alignment horizontal="center" vertical="top" wrapText="1"/>
    </xf>
    <xf numFmtId="0" fontId="4" fillId="7" borderId="14" xfId="0" applyFont="1" applyFill="1" applyBorder="1" applyAlignment="1">
      <alignment horizontal="center" textRotation="90" wrapText="1"/>
    </xf>
    <xf numFmtId="0" fontId="4" fillId="7" borderId="5" xfId="0" applyFont="1" applyFill="1" applyBorder="1" applyAlignment="1">
      <alignment horizontal="center" textRotation="90" wrapText="1"/>
    </xf>
    <xf numFmtId="0" fontId="4" fillId="12" borderId="13" xfId="0" applyFont="1" applyFill="1" applyBorder="1" applyAlignment="1">
      <alignment horizontal="center" textRotation="90" wrapText="1"/>
    </xf>
    <xf numFmtId="0" fontId="4" fillId="12" borderId="4" xfId="0" applyFont="1" applyFill="1" applyBorder="1" applyAlignment="1">
      <alignment horizontal="center" textRotation="90" wrapText="1"/>
    </xf>
    <xf numFmtId="1" fontId="38" fillId="8" borderId="23" xfId="0" applyNumberFormat="1" applyFont="1" applyFill="1" applyBorder="1" applyAlignment="1">
      <alignment horizontal="center" textRotation="90" wrapText="1"/>
    </xf>
    <xf numFmtId="1" fontId="38" fillId="8" borderId="3" xfId="0" applyNumberFormat="1" applyFont="1" applyFill="1" applyBorder="1" applyAlignment="1">
      <alignment horizontal="center" textRotation="90" wrapText="1"/>
    </xf>
    <xf numFmtId="1" fontId="4" fillId="10" borderId="23" xfId="0" applyNumberFormat="1" applyFont="1" applyFill="1" applyBorder="1" applyAlignment="1">
      <alignment horizontal="center" textRotation="90" wrapText="1"/>
    </xf>
    <xf numFmtId="1" fontId="4" fillId="10" borderId="3" xfId="0" applyNumberFormat="1" applyFont="1" applyFill="1" applyBorder="1" applyAlignment="1">
      <alignment horizontal="center" textRotation="90" wrapText="1"/>
    </xf>
    <xf numFmtId="0" fontId="41" fillId="17" borderId="9" xfId="0" applyFont="1" applyFill="1" applyBorder="1" applyAlignment="1">
      <alignment horizontal="left" wrapText="1"/>
    </xf>
    <xf numFmtId="0" fontId="41" fillId="17" borderId="31" xfId="0" applyFont="1" applyFill="1" applyBorder="1" applyAlignment="1">
      <alignment horizontal="left" wrapText="1"/>
    </xf>
    <xf numFmtId="0" fontId="41" fillId="17" borderId="10" xfId="0" applyFont="1" applyFill="1" applyBorder="1" applyAlignment="1">
      <alignment horizontal="left" wrapText="1"/>
    </xf>
    <xf numFmtId="49" fontId="8" fillId="6" borderId="14" xfId="0" applyNumberFormat="1" applyFont="1" applyFill="1" applyBorder="1" applyAlignment="1">
      <alignment horizontal="center" vertical="center" wrapText="1"/>
    </xf>
    <xf numFmtId="49" fontId="8" fillId="6" borderId="15" xfId="0" applyNumberFormat="1" applyFont="1" applyFill="1" applyBorder="1" applyAlignment="1">
      <alignment horizontal="center" vertical="center" wrapText="1"/>
    </xf>
    <xf numFmtId="1" fontId="13" fillId="10" borderId="34" xfId="0" applyNumberFormat="1" applyFont="1" applyFill="1" applyBorder="1" applyAlignment="1">
      <alignment horizontal="center" vertical="top" wrapText="1"/>
    </xf>
    <xf numFmtId="1" fontId="13" fillId="10" borderId="49" xfId="0" applyNumberFormat="1" applyFont="1" applyFill="1" applyBorder="1" applyAlignment="1">
      <alignment horizontal="center" vertical="top" wrapText="1"/>
    </xf>
    <xf numFmtId="1" fontId="13" fillId="8" borderId="13" xfId="0" applyNumberFormat="1" applyFont="1" applyFill="1" applyBorder="1" applyAlignment="1">
      <alignment horizontal="center" vertical="top" wrapText="1"/>
    </xf>
    <xf numFmtId="1" fontId="13" fillId="8" borderId="42" xfId="0" applyNumberFormat="1" applyFont="1" applyFill="1" applyBorder="1" applyAlignment="1">
      <alignment horizontal="center" vertical="top" wrapText="1"/>
    </xf>
    <xf numFmtId="0" fontId="13" fillId="7" borderId="21" xfId="0" applyFont="1" applyFill="1" applyBorder="1" applyAlignment="1">
      <alignment horizontal="center" vertical="top" wrapText="1"/>
    </xf>
    <xf numFmtId="0" fontId="13" fillId="7" borderId="43" xfId="0" applyFont="1" applyFill="1" applyBorder="1" applyAlignment="1">
      <alignment horizontal="center" vertical="top" wrapText="1"/>
    </xf>
    <xf numFmtId="0" fontId="0" fillId="17" borderId="9" xfId="0" applyFill="1" applyBorder="1" applyAlignment="1">
      <alignment horizontal="left" vertical="center" wrapText="1"/>
    </xf>
    <xf numFmtId="0" fontId="0" fillId="17" borderId="31" xfId="0" applyFill="1" applyBorder="1" applyAlignment="1">
      <alignment horizontal="left" vertical="center" wrapText="1"/>
    </xf>
    <xf numFmtId="0" fontId="0" fillId="17" borderId="10" xfId="0" applyFill="1" applyBorder="1" applyAlignment="1">
      <alignment horizontal="left" vertical="center" wrapText="1"/>
    </xf>
    <xf numFmtId="0" fontId="13" fillId="17" borderId="7" xfId="0" applyFont="1" applyFill="1" applyBorder="1" applyAlignment="1">
      <alignment horizontal="left" wrapText="1"/>
    </xf>
    <xf numFmtId="0" fontId="39" fillId="17" borderId="9" xfId="0" applyFont="1" applyFill="1" applyBorder="1" applyAlignment="1">
      <alignment horizontal="left" vertical="top" wrapText="1"/>
    </xf>
    <xf numFmtId="0" fontId="39" fillId="17" borderId="31" xfId="0" applyFont="1" applyFill="1" applyBorder="1" applyAlignment="1">
      <alignment horizontal="left" vertical="top" wrapText="1"/>
    </xf>
    <xf numFmtId="0" fontId="39" fillId="17" borderId="10" xfId="0" applyFont="1" applyFill="1" applyBorder="1" applyAlignment="1">
      <alignment horizontal="left" vertical="top" wrapText="1"/>
    </xf>
    <xf numFmtId="0" fontId="40" fillId="17" borderId="9" xfId="0" applyFont="1" applyFill="1" applyBorder="1" applyAlignment="1">
      <alignment horizontal="left" vertical="top" wrapText="1"/>
    </xf>
    <xf numFmtId="0" fontId="40" fillId="17" borderId="31" xfId="0" applyFont="1" applyFill="1" applyBorder="1" applyAlignment="1">
      <alignment horizontal="left" vertical="top" wrapText="1"/>
    </xf>
    <xf numFmtId="0" fontId="40" fillId="17" borderId="10" xfId="0" applyFont="1" applyFill="1" applyBorder="1" applyAlignment="1">
      <alignment horizontal="left" vertical="top" wrapText="1"/>
    </xf>
    <xf numFmtId="0" fontId="13" fillId="17" borderId="13" xfId="0" applyFont="1" applyFill="1" applyBorder="1" applyAlignment="1">
      <alignment horizontal="center" vertical="center" wrapText="1"/>
    </xf>
    <xf numFmtId="0" fontId="13" fillId="17" borderId="4" xfId="0" applyFont="1" applyFill="1" applyBorder="1" applyAlignment="1">
      <alignment horizontal="center" vertical="center" wrapText="1"/>
    </xf>
    <xf numFmtId="0" fontId="13" fillId="17" borderId="9" xfId="0" applyFont="1" applyFill="1" applyBorder="1" applyAlignment="1">
      <alignment horizontal="left" wrapText="1"/>
    </xf>
    <xf numFmtId="0" fontId="13" fillId="17" borderId="31" xfId="0" applyFont="1" applyFill="1" applyBorder="1" applyAlignment="1">
      <alignment horizontal="left" wrapText="1"/>
    </xf>
    <xf numFmtId="0" fontId="13" fillId="17" borderId="10" xfId="0" applyFont="1" applyFill="1" applyBorder="1" applyAlignment="1">
      <alignment horizontal="left" wrapText="1"/>
    </xf>
    <xf numFmtId="0" fontId="13" fillId="17" borderId="17" xfId="0" applyFont="1" applyFill="1" applyBorder="1" applyAlignment="1">
      <alignment horizontal="left" wrapText="1"/>
    </xf>
    <xf numFmtId="0" fontId="13" fillId="17" borderId="61" xfId="0" applyFont="1" applyFill="1" applyBorder="1" applyAlignment="1">
      <alignment horizontal="left" wrapText="1"/>
    </xf>
    <xf numFmtId="0" fontId="13" fillId="17" borderId="24" xfId="0" applyFont="1" applyFill="1" applyBorder="1" applyAlignment="1">
      <alignment horizontal="left" wrapText="1"/>
    </xf>
    <xf numFmtId="0" fontId="4" fillId="17" borderId="1" xfId="0" applyFont="1" applyFill="1" applyBorder="1" applyAlignment="1">
      <alignment horizontal="center" vertical="center" wrapText="1"/>
    </xf>
    <xf numFmtId="0" fontId="4" fillId="17" borderId="4" xfId="0" applyFont="1" applyFill="1" applyBorder="1" applyAlignment="1">
      <alignment horizontal="center" vertical="center" wrapText="1"/>
    </xf>
    <xf numFmtId="0" fontId="41" fillId="17" borderId="3" xfId="0" applyFont="1" applyFill="1" applyBorder="1" applyAlignment="1">
      <alignment horizontal="left" wrapText="1"/>
    </xf>
    <xf numFmtId="0" fontId="41" fillId="17" borderId="30" xfId="0" applyFont="1" applyFill="1" applyBorder="1" applyAlignment="1">
      <alignment horizontal="left" wrapText="1"/>
    </xf>
    <xf numFmtId="0" fontId="41" fillId="17" borderId="22" xfId="0" applyFont="1" applyFill="1" applyBorder="1" applyAlignment="1">
      <alignment horizontal="left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1" fontId="4" fillId="7" borderId="13" xfId="0" applyNumberFormat="1" applyFont="1" applyFill="1" applyBorder="1" applyAlignment="1">
      <alignment horizontal="center" textRotation="90" wrapText="1"/>
    </xf>
    <xf numFmtId="1" fontId="4" fillId="7" borderId="4" xfId="0" applyNumberFormat="1" applyFont="1" applyFill="1" applyBorder="1" applyAlignment="1">
      <alignment horizontal="center" textRotation="90" wrapText="1"/>
    </xf>
    <xf numFmtId="0" fontId="4" fillId="7" borderId="23" xfId="0" applyFont="1" applyFill="1" applyBorder="1" applyAlignment="1">
      <alignment horizontal="center" textRotation="90" wrapText="1"/>
    </xf>
    <xf numFmtId="0" fontId="4" fillId="7" borderId="3" xfId="0" applyFont="1" applyFill="1" applyBorder="1" applyAlignment="1">
      <alignment horizontal="center" textRotation="90" wrapText="1"/>
    </xf>
    <xf numFmtId="0" fontId="4" fillId="7" borderId="21" xfId="0" applyFont="1" applyFill="1" applyBorder="1" applyAlignment="1">
      <alignment horizontal="center" textRotation="90" wrapText="1"/>
    </xf>
    <xf numFmtId="0" fontId="4" fillId="7" borderId="22" xfId="0" applyFont="1" applyFill="1" applyBorder="1" applyAlignment="1">
      <alignment horizontal="center" textRotation="90" wrapText="1"/>
    </xf>
    <xf numFmtId="0" fontId="4" fillId="28" borderId="13" xfId="0" applyFont="1" applyFill="1" applyBorder="1" applyAlignment="1">
      <alignment horizontal="center" textRotation="90" wrapText="1"/>
    </xf>
    <xf numFmtId="0" fontId="4" fillId="28" borderId="4" xfId="0" applyFont="1" applyFill="1" applyBorder="1" applyAlignment="1">
      <alignment horizontal="center" textRotation="90" wrapText="1"/>
    </xf>
    <xf numFmtId="1" fontId="15" fillId="7" borderId="31" xfId="0" applyNumberFormat="1" applyFont="1" applyFill="1" applyBorder="1" applyAlignment="1">
      <alignment horizontal="center" wrapText="1"/>
    </xf>
    <xf numFmtId="1" fontId="15" fillId="7" borderId="10" xfId="0" applyNumberFormat="1" applyFont="1" applyFill="1" applyBorder="1" applyAlignment="1">
      <alignment horizontal="center" wrapText="1"/>
    </xf>
    <xf numFmtId="1" fontId="38" fillId="8" borderId="13" xfId="0" applyNumberFormat="1" applyFont="1" applyFill="1" applyBorder="1" applyAlignment="1">
      <alignment horizontal="center" textRotation="90" wrapText="1"/>
    </xf>
    <xf numFmtId="1" fontId="38" fillId="8" borderId="4" xfId="0" applyNumberFormat="1" applyFont="1" applyFill="1" applyBorder="1" applyAlignment="1">
      <alignment horizontal="center" textRotation="90" wrapText="1"/>
    </xf>
    <xf numFmtId="1" fontId="4" fillId="10" borderId="34" xfId="0" applyNumberFormat="1" applyFont="1" applyFill="1" applyBorder="1" applyAlignment="1">
      <alignment horizontal="center" textRotation="90" wrapText="1"/>
    </xf>
    <xf numFmtId="1" fontId="4" fillId="10" borderId="32" xfId="0" applyNumberFormat="1" applyFont="1" applyFill="1" applyBorder="1" applyAlignment="1">
      <alignment horizontal="center" textRotation="90" wrapText="1"/>
    </xf>
    <xf numFmtId="1" fontId="4" fillId="7" borderId="23" xfId="0" applyNumberFormat="1" applyFont="1" applyFill="1" applyBorder="1" applyAlignment="1">
      <alignment horizontal="center" wrapText="1"/>
    </xf>
    <xf numFmtId="1" fontId="4" fillId="7" borderId="29" xfId="0" applyNumberFormat="1" applyFont="1" applyFill="1" applyBorder="1" applyAlignment="1">
      <alignment horizontal="center" wrapText="1"/>
    </xf>
    <xf numFmtId="1" fontId="4" fillId="7" borderId="21" xfId="0" applyNumberFormat="1" applyFont="1" applyFill="1" applyBorder="1" applyAlignment="1">
      <alignment horizontal="center" wrapText="1"/>
    </xf>
    <xf numFmtId="0" fontId="4" fillId="7" borderId="16" xfId="0" applyFont="1" applyFill="1" applyBorder="1" applyAlignment="1">
      <alignment horizontal="center" textRotation="90" wrapText="1"/>
    </xf>
    <xf numFmtId="0" fontId="4" fillId="7" borderId="2" xfId="0" applyFont="1" applyFill="1" applyBorder="1" applyAlignment="1">
      <alignment horizontal="center" textRotation="90" wrapText="1"/>
    </xf>
    <xf numFmtId="0" fontId="4" fillId="11" borderId="13" xfId="0" applyFont="1" applyFill="1" applyBorder="1" applyAlignment="1">
      <alignment horizontal="center" textRotation="90" wrapText="1"/>
    </xf>
    <xf numFmtId="0" fontId="4" fillId="11" borderId="4" xfId="0" applyFont="1" applyFill="1" applyBorder="1" applyAlignment="1">
      <alignment horizontal="center" textRotation="90" wrapText="1"/>
    </xf>
    <xf numFmtId="1" fontId="15" fillId="7" borderId="13" xfId="0" applyNumberFormat="1" applyFont="1" applyFill="1" applyBorder="1" applyAlignment="1">
      <alignment horizontal="center" textRotation="90" wrapText="1"/>
    </xf>
    <xf numFmtId="1" fontId="15" fillId="7" borderId="4" xfId="0" applyNumberFormat="1" applyFont="1" applyFill="1" applyBorder="1" applyAlignment="1">
      <alignment horizontal="center" textRotation="90" wrapText="1"/>
    </xf>
    <xf numFmtId="0" fontId="4" fillId="2" borderId="38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top" wrapText="1"/>
    </xf>
    <xf numFmtId="0" fontId="4" fillId="2" borderId="42" xfId="0" applyFont="1" applyFill="1" applyBorder="1" applyAlignment="1">
      <alignment horizontal="center" vertical="top" wrapText="1"/>
    </xf>
    <xf numFmtId="0" fontId="4" fillId="2" borderId="40" xfId="0" applyFont="1" applyFill="1" applyBorder="1" applyAlignment="1">
      <alignment horizontal="center" vertical="top"/>
    </xf>
    <xf numFmtId="0" fontId="4" fillId="2" borderId="39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38" fillId="2" borderId="39" xfId="0" applyFont="1" applyFill="1" applyBorder="1" applyAlignment="1">
      <alignment horizontal="center" vertical="center" textRotation="90" wrapText="1"/>
    </xf>
    <xf numFmtId="0" fontId="38" fillId="2" borderId="1" xfId="0" applyFont="1" applyFill="1" applyBorder="1" applyAlignment="1">
      <alignment horizontal="center" vertical="center" textRotation="90" wrapText="1"/>
    </xf>
    <xf numFmtId="1" fontId="13" fillId="7" borderId="21" xfId="0" applyNumberFormat="1" applyFont="1" applyFill="1" applyBorder="1" applyAlignment="1">
      <alignment horizontal="center" vertical="top"/>
    </xf>
    <xf numFmtId="1" fontId="13" fillId="7" borderId="43" xfId="0" applyNumberFormat="1" applyFont="1" applyFill="1" applyBorder="1" applyAlignment="1">
      <alignment horizontal="center" vertical="top"/>
    </xf>
    <xf numFmtId="1" fontId="13" fillId="7" borderId="13" xfId="0" applyNumberFormat="1" applyFont="1" applyFill="1" applyBorder="1" applyAlignment="1">
      <alignment horizontal="center" vertical="top"/>
    </xf>
    <xf numFmtId="1" fontId="13" fillId="7" borderId="42" xfId="0" applyNumberFormat="1" applyFont="1" applyFill="1" applyBorder="1" applyAlignment="1">
      <alignment horizontal="center" vertical="top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1" fontId="13" fillId="10" borderId="23" xfId="0" applyNumberFormat="1" applyFont="1" applyFill="1" applyBorder="1" applyAlignment="1">
      <alignment horizontal="center" vertical="top" wrapText="1"/>
    </xf>
    <xf numFmtId="1" fontId="13" fillId="10" borderId="44" xfId="0" applyNumberFormat="1" applyFont="1" applyFill="1" applyBorder="1" applyAlignment="1">
      <alignment horizontal="center" vertical="top" wrapText="1"/>
    </xf>
    <xf numFmtId="0" fontId="14" fillId="13" borderId="7" xfId="0" applyFont="1" applyFill="1" applyBorder="1" applyAlignment="1">
      <alignment horizontal="center" vertical="center" wrapText="1"/>
    </xf>
    <xf numFmtId="0" fontId="11" fillId="13" borderId="9" xfId="0" applyFont="1" applyFill="1" applyBorder="1" applyAlignment="1">
      <alignment horizontal="center" vertical="center" wrapText="1"/>
    </xf>
    <xf numFmtId="0" fontId="11" fillId="16" borderId="7" xfId="0" applyFont="1" applyFill="1" applyBorder="1" applyAlignment="1">
      <alignment horizontal="center" wrapText="1"/>
    </xf>
    <xf numFmtId="0" fontId="0" fillId="0" borderId="7" xfId="0" applyBorder="1" applyAlignment="1">
      <alignment horizontal="left" wrapText="1"/>
    </xf>
    <xf numFmtId="0" fontId="14" fillId="13" borderId="10" xfId="0" applyFont="1" applyFill="1" applyBorder="1" applyAlignment="1">
      <alignment horizontal="center" vertical="center" wrapText="1"/>
    </xf>
    <xf numFmtId="0" fontId="38" fillId="2" borderId="42" xfId="0" applyFont="1" applyFill="1" applyBorder="1" applyAlignment="1">
      <alignment horizontal="center" vertical="center" textRotation="90" wrapText="1"/>
    </xf>
    <xf numFmtId="0" fontId="4" fillId="2" borderId="42" xfId="0" applyFont="1" applyFill="1" applyBorder="1" applyAlignment="1">
      <alignment horizontal="center" vertical="center" textRotation="90" wrapText="1"/>
    </xf>
    <xf numFmtId="0" fontId="60" fillId="50" borderId="18" xfId="0" applyFont="1" applyFill="1" applyBorder="1" applyAlignment="1">
      <alignment horizontal="center" vertical="center" wrapText="1"/>
    </xf>
    <xf numFmtId="0" fontId="61" fillId="51" borderId="16" xfId="0" applyFont="1" applyFill="1" applyBorder="1" applyAlignment="1">
      <alignment horizontal="center" vertical="center" textRotation="90" wrapText="1"/>
    </xf>
    <xf numFmtId="0" fontId="62" fillId="52" borderId="13" xfId="0" applyFont="1" applyFill="1" applyBorder="1" applyAlignment="1">
      <alignment horizontal="center" vertical="center" textRotation="90" wrapText="1"/>
    </xf>
    <xf numFmtId="0" fontId="61" fillId="53" borderId="23" xfId="0" applyFont="1" applyFill="1" applyBorder="1" applyAlignment="1">
      <alignment horizontal="center" vertical="center" textRotation="90" wrapText="1"/>
    </xf>
    <xf numFmtId="1" fontId="13" fillId="7" borderId="21" xfId="0" applyNumberFormat="1" applyFont="1" applyFill="1" applyBorder="1" applyAlignment="1">
      <alignment horizontal="center" vertical="top" wrapText="1"/>
    </xf>
    <xf numFmtId="1" fontId="13" fillId="7" borderId="43" xfId="0" applyNumberFormat="1" applyFont="1" applyFill="1" applyBorder="1" applyAlignment="1">
      <alignment horizontal="center" vertical="top" wrapText="1"/>
    </xf>
    <xf numFmtId="0" fontId="4" fillId="33" borderId="9" xfId="0" applyFont="1" applyFill="1" applyBorder="1" applyAlignment="1">
      <alignment horizontal="center" wrapText="1"/>
    </xf>
    <xf numFmtId="0" fontId="4" fillId="33" borderId="31" xfId="0" applyFont="1" applyFill="1" applyBorder="1" applyAlignment="1">
      <alignment horizontal="center" wrapText="1"/>
    </xf>
    <xf numFmtId="0" fontId="4" fillId="33" borderId="10" xfId="0" applyFont="1" applyFill="1" applyBorder="1" applyAlignment="1">
      <alignment horizontal="center" wrapText="1"/>
    </xf>
    <xf numFmtId="0" fontId="4" fillId="15" borderId="9" xfId="0" applyFont="1" applyFill="1" applyBorder="1" applyAlignment="1">
      <alignment horizontal="center" vertical="center" wrapText="1"/>
    </xf>
    <xf numFmtId="0" fontId="4" fillId="15" borderId="31" xfId="0" applyFont="1" applyFill="1" applyBorder="1" applyAlignment="1">
      <alignment horizontal="center" vertical="center" wrapText="1"/>
    </xf>
    <xf numFmtId="0" fontId="4" fillId="11" borderId="29" xfId="0" applyFont="1" applyFill="1" applyBorder="1" applyAlignment="1">
      <alignment horizontal="center" vertical="center" wrapText="1"/>
    </xf>
    <xf numFmtId="0" fontId="4" fillId="11" borderId="21" xfId="0" applyFont="1" applyFill="1" applyBorder="1" applyAlignment="1">
      <alignment horizontal="center" vertical="center" wrapText="1"/>
    </xf>
    <xf numFmtId="0" fontId="8" fillId="6" borderId="46" xfId="0" applyFont="1" applyFill="1" applyBorder="1" applyAlignment="1">
      <alignment horizontal="center" vertical="center" wrapText="1"/>
    </xf>
    <xf numFmtId="0" fontId="8" fillId="6" borderId="37" xfId="0" applyFont="1" applyFill="1" applyBorder="1" applyAlignment="1">
      <alignment horizontal="center" vertical="center" wrapText="1"/>
    </xf>
    <xf numFmtId="0" fontId="8" fillId="6" borderId="47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top" wrapText="1"/>
    </xf>
    <xf numFmtId="0" fontId="6" fillId="7" borderId="33" xfId="0" applyFont="1" applyFill="1" applyBorder="1" applyAlignment="1">
      <alignment horizontal="center" vertical="top" wrapText="1"/>
    </xf>
    <xf numFmtId="0" fontId="11" fillId="16" borderId="11" xfId="0" applyFont="1" applyFill="1" applyBorder="1" applyAlignment="1">
      <alignment horizontal="center" wrapText="1"/>
    </xf>
    <xf numFmtId="0" fontId="0" fillId="0" borderId="11" xfId="0" applyBorder="1" applyAlignment="1">
      <alignment horizontal="left" wrapText="1"/>
    </xf>
    <xf numFmtId="0" fontId="9" fillId="8" borderId="13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13" fillId="13" borderId="7" xfId="0" applyFont="1" applyFill="1" applyBorder="1" applyAlignment="1">
      <alignment horizontal="center"/>
    </xf>
    <xf numFmtId="0" fontId="13" fillId="13" borderId="11" xfId="0" applyFont="1" applyFill="1" applyBorder="1" applyAlignment="1">
      <alignment horizontal="center"/>
    </xf>
    <xf numFmtId="0" fontId="13" fillId="13" borderId="7" xfId="0" applyFont="1" applyFill="1" applyBorder="1" applyAlignment="1">
      <alignment horizontal="center" vertical="center" wrapText="1"/>
    </xf>
    <xf numFmtId="0" fontId="13" fillId="13" borderId="11" xfId="0" applyFont="1" applyFill="1" applyBorder="1" applyAlignment="1">
      <alignment horizontal="center" vertical="center" wrapText="1"/>
    </xf>
    <xf numFmtId="0" fontId="12" fillId="5" borderId="56" xfId="0" applyFont="1" applyFill="1" applyBorder="1" applyAlignment="1">
      <alignment horizontal="center"/>
    </xf>
    <xf numFmtId="0" fontId="12" fillId="5" borderId="37" xfId="0" applyFont="1" applyFill="1" applyBorder="1" applyAlignment="1">
      <alignment horizontal="center"/>
    </xf>
    <xf numFmtId="0" fontId="30" fillId="22" borderId="16" xfId="0" applyFont="1" applyFill="1" applyBorder="1" applyAlignment="1">
      <alignment horizontal="center" vertical="center" textRotation="90" wrapText="1"/>
    </xf>
    <xf numFmtId="0" fontId="30" fillId="22" borderId="41" xfId="0" applyFont="1" applyFill="1" applyBorder="1" applyAlignment="1">
      <alignment horizontal="center" vertical="center" textRotation="90" wrapText="1"/>
    </xf>
    <xf numFmtId="0" fontId="28" fillId="20" borderId="13" xfId="0" applyFont="1" applyFill="1" applyBorder="1" applyAlignment="1">
      <alignment horizontal="center" vertical="center" textRotation="90" wrapText="1"/>
    </xf>
    <xf numFmtId="0" fontId="28" fillId="20" borderId="42" xfId="0" applyFont="1" applyFill="1" applyBorder="1" applyAlignment="1">
      <alignment horizontal="center" vertical="center" textRotation="90" wrapText="1"/>
    </xf>
    <xf numFmtId="0" fontId="30" fillId="25" borderId="23" xfId="0" applyFont="1" applyFill="1" applyBorder="1" applyAlignment="1">
      <alignment horizontal="center" vertical="center" textRotation="90" wrapText="1"/>
    </xf>
    <xf numFmtId="0" fontId="30" fillId="25" borderId="44" xfId="0" applyFont="1" applyFill="1" applyBorder="1" applyAlignment="1">
      <alignment horizontal="center" vertical="center" textRotation="90" wrapText="1"/>
    </xf>
    <xf numFmtId="0" fontId="33" fillId="22" borderId="46" xfId="0" applyFont="1" applyFill="1" applyBorder="1" applyAlignment="1">
      <alignment horizontal="center" vertical="center"/>
    </xf>
    <xf numFmtId="0" fontId="33" fillId="22" borderId="56" xfId="0" applyFont="1" applyFill="1" applyBorder="1" applyAlignment="1">
      <alignment horizontal="center" vertical="center"/>
    </xf>
    <xf numFmtId="0" fontId="33" fillId="22" borderId="37" xfId="0" applyFont="1" applyFill="1" applyBorder="1" applyAlignment="1">
      <alignment horizontal="center" vertical="center"/>
    </xf>
    <xf numFmtId="0" fontId="34" fillId="20" borderId="46" xfId="0" applyFont="1" applyFill="1" applyBorder="1" applyAlignment="1">
      <alignment horizontal="center" vertical="center"/>
    </xf>
    <xf numFmtId="0" fontId="34" fillId="20" borderId="56" xfId="0" applyFont="1" applyFill="1" applyBorder="1" applyAlignment="1">
      <alignment horizontal="center" vertical="center"/>
    </xf>
    <xf numFmtId="0" fontId="33" fillId="25" borderId="46" xfId="0" applyFont="1" applyFill="1" applyBorder="1" applyAlignment="1">
      <alignment horizontal="center" vertical="center"/>
    </xf>
    <xf numFmtId="0" fontId="33" fillId="25" borderId="56" xfId="0" applyFont="1" applyFill="1" applyBorder="1" applyAlignment="1">
      <alignment horizontal="center" vertical="center"/>
    </xf>
    <xf numFmtId="0" fontId="33" fillId="25" borderId="37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1" fillId="24" borderId="25" xfId="0" applyFont="1" applyFill="1" applyBorder="1" applyAlignment="1">
      <alignment horizontal="center" vertical="center" wrapText="1"/>
    </xf>
    <xf numFmtId="0" fontId="11" fillId="24" borderId="26" xfId="0" applyFont="1" applyFill="1" applyBorder="1" applyAlignment="1">
      <alignment horizontal="center" vertical="center" wrapText="1"/>
    </xf>
    <xf numFmtId="0" fontId="11" fillId="24" borderId="27" xfId="0" applyFont="1" applyFill="1" applyBorder="1" applyAlignment="1">
      <alignment horizontal="center" vertical="center" wrapText="1"/>
    </xf>
    <xf numFmtId="0" fontId="11" fillId="24" borderId="6" xfId="0" applyFont="1" applyFill="1" applyBorder="1" applyAlignment="1">
      <alignment horizontal="center" vertical="center" wrapText="1"/>
    </xf>
    <xf numFmtId="0" fontId="11" fillId="24" borderId="7" xfId="0" applyFont="1" applyFill="1" applyBorder="1" applyAlignment="1">
      <alignment horizontal="center" vertical="center" wrapText="1"/>
    </xf>
    <xf numFmtId="0" fontId="11" fillId="24" borderId="8" xfId="0" applyFont="1" applyFill="1" applyBorder="1" applyAlignment="1">
      <alignment horizontal="center" vertical="center" wrapText="1"/>
    </xf>
    <xf numFmtId="0" fontId="12" fillId="11" borderId="31" xfId="0" applyFont="1" applyFill="1" applyBorder="1" applyAlignment="1">
      <alignment horizontal="center" vertical="center" wrapText="1"/>
    </xf>
    <xf numFmtId="0" fontId="12" fillId="11" borderId="10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 textRotation="90" wrapText="1"/>
    </xf>
    <xf numFmtId="0" fontId="12" fillId="0" borderId="42" xfId="0" applyFont="1" applyBorder="1" applyAlignment="1">
      <alignment horizontal="center" vertical="center" textRotation="90" wrapText="1"/>
    </xf>
    <xf numFmtId="0" fontId="12" fillId="0" borderId="14" xfId="0" applyFont="1" applyBorder="1" applyAlignment="1">
      <alignment horizontal="center" textRotation="90" wrapText="1"/>
    </xf>
    <xf numFmtId="0" fontId="12" fillId="0" borderId="15" xfId="0" applyFont="1" applyBorder="1" applyAlignment="1">
      <alignment horizontal="center" textRotation="90" wrapText="1"/>
    </xf>
    <xf numFmtId="0" fontId="12" fillId="0" borderId="33" xfId="0" applyFont="1" applyBorder="1" applyAlignment="1">
      <alignment horizontal="center" textRotation="90" wrapText="1"/>
    </xf>
    <xf numFmtId="0" fontId="12" fillId="11" borderId="21" xfId="0" applyFont="1" applyFill="1" applyBorder="1" applyAlignment="1">
      <alignment horizontal="center" textRotation="90" wrapText="1"/>
    </xf>
    <xf numFmtId="0" fontId="12" fillId="11" borderId="43" xfId="0" applyFont="1" applyFill="1" applyBorder="1" applyAlignment="1">
      <alignment horizontal="center" textRotation="90" wrapText="1"/>
    </xf>
    <xf numFmtId="0" fontId="16" fillId="10" borderId="13" xfId="0" applyFont="1" applyFill="1" applyBorder="1" applyAlignment="1">
      <alignment horizontal="center" textRotation="90" wrapText="1"/>
    </xf>
    <xf numFmtId="0" fontId="16" fillId="10" borderId="42" xfId="0" applyFont="1" applyFill="1" applyBorder="1" applyAlignment="1">
      <alignment horizontal="center" textRotation="90" wrapText="1"/>
    </xf>
    <xf numFmtId="0" fontId="12" fillId="12" borderId="13" xfId="0" applyFont="1" applyFill="1" applyBorder="1" applyAlignment="1">
      <alignment horizontal="center" textRotation="90" wrapText="1"/>
    </xf>
    <xf numFmtId="0" fontId="12" fillId="12" borderId="42" xfId="0" applyFont="1" applyFill="1" applyBorder="1" applyAlignment="1">
      <alignment horizontal="center" textRotation="90" wrapText="1"/>
    </xf>
    <xf numFmtId="0" fontId="12" fillId="21" borderId="13" xfId="0" applyFont="1" applyFill="1" applyBorder="1" applyAlignment="1">
      <alignment horizontal="center" textRotation="90" wrapText="1"/>
    </xf>
    <xf numFmtId="0" fontId="12" fillId="21" borderId="42" xfId="0" applyFont="1" applyFill="1" applyBorder="1" applyAlignment="1">
      <alignment horizontal="center" textRotation="90" wrapText="1"/>
    </xf>
    <xf numFmtId="0" fontId="12" fillId="28" borderId="13" xfId="0" applyFont="1" applyFill="1" applyBorder="1" applyAlignment="1">
      <alignment horizontal="center" textRotation="90" wrapText="1"/>
    </xf>
    <xf numFmtId="0" fontId="12" fillId="28" borderId="42" xfId="0" applyFont="1" applyFill="1" applyBorder="1" applyAlignment="1">
      <alignment horizontal="center" textRotation="90" wrapText="1"/>
    </xf>
    <xf numFmtId="0" fontId="27" fillId="0" borderId="0" xfId="0" applyFont="1" applyAlignment="1">
      <alignment horizontal="center"/>
    </xf>
    <xf numFmtId="0" fontId="12" fillId="2" borderId="38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 textRotation="90" wrapText="1"/>
    </xf>
    <xf numFmtId="0" fontId="12" fillId="2" borderId="1" xfId="0" applyFont="1" applyFill="1" applyBorder="1" applyAlignment="1">
      <alignment horizontal="center" vertical="center" textRotation="90" wrapText="1"/>
    </xf>
    <xf numFmtId="0" fontId="33" fillId="22" borderId="7" xfId="0" applyFont="1" applyFill="1" applyBorder="1" applyAlignment="1">
      <alignment horizontal="center" vertical="center"/>
    </xf>
    <xf numFmtId="0" fontId="34" fillId="20" borderId="7" xfId="0" applyFont="1" applyFill="1" applyBorder="1" applyAlignment="1">
      <alignment horizontal="center" vertical="center"/>
    </xf>
    <xf numFmtId="0" fontId="33" fillId="25" borderId="7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33" fillId="22" borderId="58" xfId="0" applyFont="1" applyFill="1" applyBorder="1" applyAlignment="1">
      <alignment horizontal="center" vertical="center"/>
    </xf>
    <xf numFmtId="0" fontId="33" fillId="22" borderId="57" xfId="0" applyFont="1" applyFill="1" applyBorder="1" applyAlignment="1">
      <alignment horizontal="center" vertical="center"/>
    </xf>
    <xf numFmtId="0" fontId="52" fillId="0" borderId="65" xfId="0" applyFont="1" applyBorder="1" applyAlignment="1">
      <alignment vertical="center" textRotation="90" wrapText="1"/>
    </xf>
    <xf numFmtId="0" fontId="52" fillId="0" borderId="70" xfId="0" applyFont="1" applyBorder="1" applyAlignment="1">
      <alignment vertical="center" textRotation="90" wrapText="1"/>
    </xf>
    <xf numFmtId="0" fontId="52" fillId="0" borderId="64" xfId="0" applyFont="1" applyBorder="1" applyAlignment="1">
      <alignment vertical="center" textRotation="90" wrapText="1"/>
    </xf>
    <xf numFmtId="0" fontId="52" fillId="0" borderId="58" xfId="0" applyFont="1" applyBorder="1" applyAlignment="1">
      <alignment horizontal="center" vertical="center" wrapText="1"/>
    </xf>
    <xf numFmtId="0" fontId="52" fillId="0" borderId="72" xfId="0" applyFont="1" applyBorder="1" applyAlignment="1">
      <alignment horizontal="center" vertical="center" wrapText="1"/>
    </xf>
    <xf numFmtId="0" fontId="52" fillId="38" borderId="58" xfId="0" applyFont="1" applyFill="1" applyBorder="1" applyAlignment="1">
      <alignment horizontal="center" vertical="center" wrapText="1"/>
    </xf>
    <xf numFmtId="0" fontId="52" fillId="38" borderId="57" xfId="0" applyFont="1" applyFill="1" applyBorder="1" applyAlignment="1">
      <alignment horizontal="center" vertical="center" wrapText="1"/>
    </xf>
    <xf numFmtId="0" fontId="52" fillId="38" borderId="72" xfId="0" applyFont="1" applyFill="1" applyBorder="1" applyAlignment="1">
      <alignment horizontal="center" vertical="center" wrapText="1"/>
    </xf>
    <xf numFmtId="0" fontId="52" fillId="38" borderId="37" xfId="0" applyFont="1" applyFill="1" applyBorder="1" applyAlignment="1">
      <alignment vertical="center" textRotation="90" wrapText="1"/>
    </xf>
    <xf numFmtId="0" fontId="52" fillId="38" borderId="71" xfId="0" applyFont="1" applyFill="1" applyBorder="1" applyAlignment="1">
      <alignment vertical="center" textRotation="90" wrapText="1"/>
    </xf>
    <xf numFmtId="0" fontId="53" fillId="0" borderId="64" xfId="0" applyFont="1" applyBorder="1" applyAlignment="1">
      <alignment vertical="center" textRotation="90" wrapText="1"/>
    </xf>
    <xf numFmtId="0" fontId="53" fillId="0" borderId="70" xfId="0" applyFont="1" applyBorder="1" applyAlignment="1">
      <alignment vertical="center" textRotation="90" wrapText="1"/>
    </xf>
    <xf numFmtId="0" fontId="52" fillId="40" borderId="64" xfId="0" applyFont="1" applyFill="1" applyBorder="1" applyAlignment="1">
      <alignment vertical="center" textRotation="90" wrapText="1"/>
    </xf>
    <xf numFmtId="0" fontId="52" fillId="40" borderId="70" xfId="0" applyFont="1" applyFill="1" applyBorder="1" applyAlignment="1">
      <alignment vertical="center" textRotation="90" wrapText="1"/>
    </xf>
    <xf numFmtId="0" fontId="52" fillId="0" borderId="64" xfId="0" applyFont="1" applyBorder="1" applyAlignment="1">
      <alignment horizontal="center" vertical="center" textRotation="90" wrapText="1"/>
    </xf>
    <xf numFmtId="0" fontId="52" fillId="0" borderId="65" xfId="0" applyFont="1" applyBorder="1" applyAlignment="1">
      <alignment horizontal="center" vertical="center" textRotation="90" wrapText="1"/>
    </xf>
    <xf numFmtId="0" fontId="52" fillId="0" borderId="70" xfId="0" applyFont="1" applyBorder="1" applyAlignment="1">
      <alignment horizontal="center" vertical="center" textRotation="90" wrapText="1"/>
    </xf>
    <xf numFmtId="0" fontId="52" fillId="0" borderId="64" xfId="0" applyFont="1" applyBorder="1" applyAlignment="1">
      <alignment vertical="center" wrapText="1"/>
    </xf>
    <xf numFmtId="0" fontId="52" fillId="0" borderId="65" xfId="0" applyFont="1" applyBorder="1" applyAlignment="1">
      <alignment vertical="center" wrapText="1"/>
    </xf>
    <xf numFmtId="0" fontId="52" fillId="0" borderId="70" xfId="0" applyFont="1" applyBorder="1" applyAlignment="1">
      <alignment vertical="center" wrapText="1"/>
    </xf>
    <xf numFmtId="0" fontId="52" fillId="0" borderId="57" xfId="0" applyFont="1" applyBorder="1" applyAlignment="1">
      <alignment horizontal="center" vertical="center" wrapText="1"/>
    </xf>
    <xf numFmtId="0" fontId="52" fillId="0" borderId="75" xfId="0" applyFont="1" applyBorder="1" applyAlignment="1">
      <alignment horizontal="center" vertical="center"/>
    </xf>
    <xf numFmtId="0" fontId="52" fillId="0" borderId="57" xfId="0" applyFont="1" applyBorder="1" applyAlignment="1">
      <alignment horizontal="center" vertical="center"/>
    </xf>
    <xf numFmtId="0" fontId="52" fillId="0" borderId="72" xfId="0" applyFont="1" applyBorder="1" applyAlignment="1">
      <alignment horizontal="center" vertical="center"/>
    </xf>
    <xf numFmtId="0" fontId="52" fillId="0" borderId="75" xfId="0" applyFont="1" applyBorder="1" applyAlignment="1">
      <alignment horizontal="center" vertical="center" wrapText="1"/>
    </xf>
    <xf numFmtId="0" fontId="52" fillId="0" borderId="54" xfId="0" applyFont="1" applyBorder="1" applyAlignment="1">
      <alignment horizontal="center" vertical="center" wrapText="1"/>
    </xf>
    <xf numFmtId="0" fontId="53" fillId="40" borderId="64" xfId="0" applyFont="1" applyFill="1" applyBorder="1" applyAlignment="1">
      <alignment vertical="center" textRotation="90" wrapText="1"/>
    </xf>
    <xf numFmtId="0" fontId="53" fillId="40" borderId="70" xfId="0" applyFont="1" applyFill="1" applyBorder="1" applyAlignment="1">
      <alignment vertical="center" textRotation="90" wrapText="1"/>
    </xf>
    <xf numFmtId="0" fontId="6" fillId="37" borderId="58" xfId="0" applyFont="1" applyFill="1" applyBorder="1" applyAlignment="1">
      <alignment horizontal="right" vertical="center" wrapText="1"/>
    </xf>
    <xf numFmtId="0" fontId="6" fillId="37" borderId="54" xfId="0" applyFont="1" applyFill="1" applyBorder="1" applyAlignment="1">
      <alignment horizontal="right" vertical="center" wrapText="1"/>
    </xf>
    <xf numFmtId="0" fontId="48" fillId="0" borderId="64" xfId="0" applyFont="1" applyBorder="1" applyAlignment="1">
      <alignment horizontal="center" vertical="center" wrapText="1"/>
    </xf>
    <xf numFmtId="0" fontId="48" fillId="0" borderId="65" xfId="0" applyFont="1" applyBorder="1" applyAlignment="1">
      <alignment horizontal="center" vertical="center" wrapText="1"/>
    </xf>
    <xf numFmtId="0" fontId="48" fillId="0" borderId="63" xfId="0" applyFont="1" applyBorder="1" applyAlignment="1">
      <alignment horizontal="center" vertical="center" wrapText="1"/>
    </xf>
    <xf numFmtId="0" fontId="48" fillId="0" borderId="64" xfId="0" applyFont="1" applyBorder="1" applyAlignment="1">
      <alignment vertical="center" wrapText="1"/>
    </xf>
    <xf numFmtId="0" fontId="48" fillId="0" borderId="65" xfId="0" applyFont="1" applyBorder="1" applyAlignment="1">
      <alignment vertical="center" wrapText="1"/>
    </xf>
    <xf numFmtId="0" fontId="48" fillId="0" borderId="63" xfId="0" applyFont="1" applyBorder="1" applyAlignment="1">
      <alignment vertical="center" wrapText="1"/>
    </xf>
    <xf numFmtId="0" fontId="52" fillId="0" borderId="37" xfId="0" applyFont="1" applyBorder="1" applyAlignment="1">
      <alignment vertical="center" textRotation="90" wrapText="1"/>
    </xf>
    <xf numFmtId="0" fontId="52" fillId="0" borderId="66" xfId="0" applyFont="1" applyBorder="1" applyAlignment="1">
      <alignment vertical="center" textRotation="90" wrapText="1"/>
    </xf>
    <xf numFmtId="0" fontId="52" fillId="0" borderId="71" xfId="0" applyFont="1" applyBorder="1" applyAlignment="1">
      <alignment vertical="center" textRotation="90" wrapText="1"/>
    </xf>
    <xf numFmtId="0" fontId="52" fillId="38" borderId="56" xfId="0" applyFont="1" applyFill="1" applyBorder="1" applyAlignment="1">
      <alignment vertical="center" textRotation="90" wrapText="1"/>
    </xf>
    <xf numFmtId="0" fontId="52" fillId="38" borderId="73" xfId="0" applyFont="1" applyFill="1" applyBorder="1" applyAlignment="1">
      <alignment vertical="center" textRotation="90" wrapText="1"/>
    </xf>
    <xf numFmtId="0" fontId="6" fillId="0" borderId="64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48" fillId="0" borderId="67" xfId="0" applyFont="1" applyBorder="1" applyAlignment="1">
      <alignment vertical="center" wrapText="1"/>
    </xf>
    <xf numFmtId="0" fontId="6" fillId="8" borderId="58" xfId="0" applyFont="1" applyFill="1" applyBorder="1" applyAlignment="1">
      <alignment horizontal="right" vertical="center" wrapText="1"/>
    </xf>
    <xf numFmtId="0" fontId="6" fillId="8" borderId="54" xfId="0" applyFont="1" applyFill="1" applyBorder="1" applyAlignment="1">
      <alignment horizontal="right" vertical="center" wrapText="1"/>
    </xf>
    <xf numFmtId="0" fontId="52" fillId="0" borderId="64" xfId="0" applyFont="1" applyBorder="1" applyAlignment="1">
      <alignment horizontal="center" vertical="center" wrapText="1"/>
    </xf>
    <xf numFmtId="0" fontId="52" fillId="0" borderId="65" xfId="0" applyFont="1" applyBorder="1" applyAlignment="1">
      <alignment horizontal="center" vertical="center" wrapText="1"/>
    </xf>
    <xf numFmtId="0" fontId="52" fillId="0" borderId="70" xfId="0" applyFont="1" applyBorder="1" applyAlignment="1">
      <alignment horizontal="center" vertical="center" wrapText="1"/>
    </xf>
    <xf numFmtId="0" fontId="52" fillId="34" borderId="58" xfId="0" applyFont="1" applyFill="1" applyBorder="1" applyAlignment="1">
      <alignment horizontal="center" vertical="center" wrapText="1"/>
    </xf>
    <xf numFmtId="0" fontId="52" fillId="34" borderId="57" xfId="0" applyFont="1" applyFill="1" applyBorder="1" applyAlignment="1">
      <alignment horizontal="center" vertical="center" wrapText="1"/>
    </xf>
    <xf numFmtId="0" fontId="52" fillId="34" borderId="72" xfId="0" applyFont="1" applyFill="1" applyBorder="1" applyAlignment="1">
      <alignment horizontal="center" vertical="center" wrapText="1"/>
    </xf>
    <xf numFmtId="0" fontId="52" fillId="34" borderId="37" xfId="0" applyFont="1" applyFill="1" applyBorder="1" applyAlignment="1">
      <alignment vertical="center" textRotation="90" wrapText="1"/>
    </xf>
    <xf numFmtId="0" fontId="52" fillId="34" borderId="71" xfId="0" applyFont="1" applyFill="1" applyBorder="1" applyAlignment="1">
      <alignment vertical="center" textRotation="90" wrapText="1"/>
    </xf>
    <xf numFmtId="0" fontId="52" fillId="42" borderId="58" xfId="0" applyFont="1" applyFill="1" applyBorder="1" applyAlignment="1">
      <alignment horizontal="center" vertical="center" wrapText="1"/>
    </xf>
    <xf numFmtId="0" fontId="52" fillId="42" borderId="54" xfId="0" applyFont="1" applyFill="1" applyBorder="1" applyAlignment="1">
      <alignment horizontal="center" vertical="center" wrapText="1"/>
    </xf>
    <xf numFmtId="0" fontId="53" fillId="33" borderId="64" xfId="0" applyFont="1" applyFill="1" applyBorder="1" applyAlignment="1">
      <alignment vertical="center" textRotation="90" wrapText="1"/>
    </xf>
    <xf numFmtId="0" fontId="53" fillId="33" borderId="70" xfId="0" applyFont="1" applyFill="1" applyBorder="1" applyAlignment="1">
      <alignment vertical="center" textRotation="90" wrapText="1"/>
    </xf>
    <xf numFmtId="0" fontId="52" fillId="33" borderId="64" xfId="0" applyFont="1" applyFill="1" applyBorder="1" applyAlignment="1">
      <alignment vertical="center" textRotation="90" wrapText="1"/>
    </xf>
    <xf numFmtId="0" fontId="52" fillId="33" borderId="70" xfId="0" applyFont="1" applyFill="1" applyBorder="1" applyAlignment="1">
      <alignment vertical="center" textRotation="90" wrapText="1"/>
    </xf>
    <xf numFmtId="0" fontId="53" fillId="3" borderId="64" xfId="0" applyFont="1" applyFill="1" applyBorder="1" applyAlignment="1">
      <alignment vertical="center" textRotation="90" wrapText="1"/>
    </xf>
    <xf numFmtId="0" fontId="53" fillId="3" borderId="70" xfId="0" applyFont="1" applyFill="1" applyBorder="1" applyAlignment="1">
      <alignment vertical="center" textRotation="90" wrapText="1"/>
    </xf>
    <xf numFmtId="0" fontId="52" fillId="3" borderId="64" xfId="0" applyFont="1" applyFill="1" applyBorder="1" applyAlignment="1">
      <alignment vertical="center" textRotation="90" wrapText="1"/>
    </xf>
    <xf numFmtId="0" fontId="52" fillId="3" borderId="70" xfId="0" applyFont="1" applyFill="1" applyBorder="1" applyAlignment="1">
      <alignment vertical="center" textRotation="90" wrapText="1"/>
    </xf>
    <xf numFmtId="0" fontId="52" fillId="2" borderId="58" xfId="0" applyFont="1" applyFill="1" applyBorder="1" applyAlignment="1">
      <alignment horizontal="center" vertical="center" wrapText="1"/>
    </xf>
    <xf numFmtId="0" fontId="52" fillId="2" borderId="54" xfId="0" applyFont="1" applyFill="1" applyBorder="1" applyAlignment="1">
      <alignment horizontal="center" vertical="center" wrapText="1"/>
    </xf>
    <xf numFmtId="0" fontId="55" fillId="0" borderId="58" xfId="0" applyFont="1" applyBorder="1" applyAlignment="1">
      <alignment horizontal="center" vertical="center" wrapText="1"/>
    </xf>
    <xf numFmtId="0" fontId="55" fillId="0" borderId="54" xfId="0" applyFont="1" applyBorder="1" applyAlignment="1">
      <alignment horizontal="center" vertical="center" wrapText="1"/>
    </xf>
    <xf numFmtId="0" fontId="52" fillId="0" borderId="64" xfId="0" applyFont="1" applyBorder="1" applyAlignment="1">
      <alignment horizontal="justify" vertical="center" textRotation="90" wrapText="1"/>
    </xf>
    <xf numFmtId="0" fontId="52" fillId="0" borderId="65" xfId="0" applyFont="1" applyBorder="1" applyAlignment="1">
      <alignment horizontal="justify" vertical="center" textRotation="90" wrapText="1"/>
    </xf>
    <xf numFmtId="0" fontId="52" fillId="0" borderId="70" xfId="0" applyFont="1" applyBorder="1" applyAlignment="1">
      <alignment horizontal="justify" vertical="center" textRotation="90" wrapText="1"/>
    </xf>
    <xf numFmtId="0" fontId="52" fillId="44" borderId="58" xfId="0" applyFont="1" applyFill="1" applyBorder="1" applyAlignment="1">
      <alignment horizontal="center" vertical="center"/>
    </xf>
    <xf numFmtId="0" fontId="52" fillId="44" borderId="72" xfId="0" applyFont="1" applyFill="1" applyBorder="1" applyAlignment="1">
      <alignment horizontal="center" vertical="center"/>
    </xf>
    <xf numFmtId="0" fontId="52" fillId="21" borderId="58" xfId="0" applyFont="1" applyFill="1" applyBorder="1" applyAlignment="1">
      <alignment horizontal="center" vertical="center"/>
    </xf>
    <xf numFmtId="0" fontId="52" fillId="21" borderId="72" xfId="0" applyFont="1" applyFill="1" applyBorder="1" applyAlignment="1">
      <alignment horizontal="center" vertical="center"/>
    </xf>
    <xf numFmtId="0" fontId="56" fillId="44" borderId="58" xfId="0" applyFont="1" applyFill="1" applyBorder="1" applyAlignment="1">
      <alignment horizontal="center" vertical="center"/>
    </xf>
    <xf numFmtId="0" fontId="56" fillId="44" borderId="72" xfId="0" applyFont="1" applyFill="1" applyBorder="1" applyAlignment="1">
      <alignment horizontal="center" vertical="center"/>
    </xf>
    <xf numFmtId="0" fontId="56" fillId="21" borderId="58" xfId="0" applyFont="1" applyFill="1" applyBorder="1" applyAlignment="1">
      <alignment horizontal="center" vertical="center"/>
    </xf>
    <xf numFmtId="0" fontId="56" fillId="21" borderId="72" xfId="0" applyFont="1" applyFill="1" applyBorder="1" applyAlignment="1">
      <alignment horizontal="center" vertical="center"/>
    </xf>
    <xf numFmtId="0" fontId="52" fillId="0" borderId="54" xfId="0" applyFont="1" applyBorder="1" applyAlignment="1">
      <alignment horizontal="center" vertical="center"/>
    </xf>
    <xf numFmtId="0" fontId="52" fillId="0" borderId="46" xfId="0" applyFont="1" applyBorder="1" applyAlignment="1">
      <alignment horizontal="center" vertical="center" textRotation="90" wrapText="1"/>
    </xf>
    <xf numFmtId="0" fontId="52" fillId="0" borderId="37" xfId="0" applyFont="1" applyBorder="1" applyAlignment="1">
      <alignment horizontal="center" vertical="center" textRotation="90" wrapText="1"/>
    </xf>
    <xf numFmtId="0" fontId="52" fillId="38" borderId="54" xfId="0" applyFont="1" applyFill="1" applyBorder="1" applyAlignment="1">
      <alignment horizontal="center" vertical="center" wrapText="1"/>
    </xf>
    <xf numFmtId="0" fontId="52" fillId="38" borderId="64" xfId="0" applyFont="1" applyFill="1" applyBorder="1" applyAlignment="1">
      <alignment vertical="center" textRotation="90" wrapText="1"/>
    </xf>
    <xf numFmtId="0" fontId="52" fillId="38" borderId="70" xfId="0" applyFont="1" applyFill="1" applyBorder="1" applyAlignment="1">
      <alignment vertical="center" textRotation="90" wrapText="1"/>
    </xf>
    <xf numFmtId="0" fontId="52" fillId="0" borderId="67" xfId="0" applyFont="1" applyBorder="1" applyAlignment="1">
      <alignment vertical="center" textRotation="90" wrapText="1"/>
    </xf>
    <xf numFmtId="0" fontId="52" fillId="0" borderId="77" xfId="0" applyFont="1" applyBorder="1" applyAlignment="1">
      <alignment vertical="center" textRotation="90" wrapText="1"/>
    </xf>
    <xf numFmtId="0" fontId="52" fillId="38" borderId="58" xfId="0" applyFont="1" applyFill="1" applyBorder="1" applyAlignment="1">
      <alignment vertical="center" textRotation="90" wrapText="1"/>
    </xf>
    <xf numFmtId="0" fontId="52" fillId="38" borderId="54" xfId="0" applyFont="1" applyFill="1" applyBorder="1" applyAlignment="1">
      <alignment vertical="center" textRotation="90" wrapText="1"/>
    </xf>
    <xf numFmtId="0" fontId="52" fillId="38" borderId="58" xfId="0" applyFont="1" applyFill="1" applyBorder="1" applyAlignment="1">
      <alignment horizontal="right" vertical="center"/>
    </xf>
    <xf numFmtId="0" fontId="52" fillId="38" borderId="54" xfId="0" applyFont="1" applyFill="1" applyBorder="1" applyAlignment="1">
      <alignment horizontal="right" vertical="center"/>
    </xf>
    <xf numFmtId="0" fontId="52" fillId="0" borderId="78" xfId="0" applyFont="1" applyBorder="1" applyAlignment="1">
      <alignment vertical="center"/>
    </xf>
    <xf numFmtId="0" fontId="52" fillId="0" borderId="79" xfId="0" applyFont="1" applyBorder="1" applyAlignment="1">
      <alignment vertical="center"/>
    </xf>
    <xf numFmtId="0" fontId="52" fillId="0" borderId="58" xfId="0" applyFont="1" applyBorder="1" applyAlignment="1">
      <alignment vertical="center"/>
    </xf>
    <xf numFmtId="0" fontId="52" fillId="0" borderId="54" xfId="0" applyFont="1" applyBorder="1" applyAlignment="1">
      <alignment vertical="center"/>
    </xf>
    <xf numFmtId="0" fontId="53" fillId="0" borderId="58" xfId="0" applyFont="1" applyBorder="1" applyAlignment="1">
      <alignment vertical="center"/>
    </xf>
    <xf numFmtId="0" fontId="53" fillId="0" borderId="54" xfId="0" applyFont="1" applyBorder="1" applyAlignment="1">
      <alignment vertical="center"/>
    </xf>
    <xf numFmtId="0" fontId="55" fillId="0" borderId="58" xfId="0" applyFont="1" applyBorder="1" applyAlignment="1">
      <alignment vertical="center"/>
    </xf>
    <xf numFmtId="0" fontId="55" fillId="0" borderId="54" xfId="0" applyFont="1" applyBorder="1" applyAlignment="1">
      <alignment vertical="center"/>
    </xf>
    <xf numFmtId="0" fontId="48" fillId="0" borderId="64" xfId="0" applyFont="1" applyBorder="1" applyAlignment="1">
      <alignment vertical="center"/>
    </xf>
    <xf numFmtId="0" fontId="48" fillId="0" borderId="65" xfId="0" applyFont="1" applyBorder="1" applyAlignment="1">
      <alignment vertical="center"/>
    </xf>
    <xf numFmtId="0" fontId="48" fillId="0" borderId="63" xfId="0" applyFont="1" applyBorder="1" applyAlignment="1">
      <alignment vertical="center"/>
    </xf>
    <xf numFmtId="0" fontId="48" fillId="0" borderId="64" xfId="0" applyFont="1" applyBorder="1" applyAlignment="1">
      <alignment horizontal="center" vertical="center"/>
    </xf>
    <xf numFmtId="0" fontId="48" fillId="0" borderId="65" xfId="0" applyFont="1" applyBorder="1" applyAlignment="1">
      <alignment horizontal="center" vertical="center"/>
    </xf>
    <xf numFmtId="0" fontId="48" fillId="0" borderId="63" xfId="0" applyFont="1" applyBorder="1" applyAlignment="1">
      <alignment horizontal="center" vertical="center"/>
    </xf>
    <xf numFmtId="0" fontId="6" fillId="0" borderId="58" xfId="0" applyFont="1" applyBorder="1" applyAlignment="1">
      <alignment horizontal="right" vertical="center"/>
    </xf>
    <xf numFmtId="0" fontId="6" fillId="0" borderId="54" xfId="0" applyFont="1" applyBorder="1" applyAlignment="1">
      <alignment horizontal="right" vertical="center"/>
    </xf>
    <xf numFmtId="0" fontId="4" fillId="14" borderId="0" xfId="0" applyFont="1" applyFill="1" applyAlignment="1">
      <alignment horizontal="center"/>
    </xf>
    <xf numFmtId="0" fontId="4" fillId="14" borderId="0" xfId="0" applyFont="1" applyFill="1" applyAlignment="1">
      <alignment horizontal="center" wrapText="1"/>
    </xf>
    <xf numFmtId="0" fontId="48" fillId="0" borderId="0" xfId="0" applyFont="1" applyAlignment="1">
      <alignment vertical="top" wrapText="1"/>
    </xf>
    <xf numFmtId="0" fontId="1" fillId="0" borderId="26" xfId="0" applyFont="1" applyBorder="1" applyAlignment="1">
      <alignment vertical="center"/>
    </xf>
    <xf numFmtId="0" fontId="1" fillId="0" borderId="7" xfId="0" applyFont="1" applyBorder="1" applyAlignment="1">
      <alignment vertical="center"/>
    </xf>
  </cellXfs>
  <cellStyles count="2">
    <cellStyle name="Normalny" xfId="0" builtinId="0"/>
    <cellStyle name="Tekst ostrzeżenia" xfId="1" builtinId="11"/>
  </cellStyles>
  <dxfs count="224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fill>
        <patternFill>
          <bgColor rgb="FFEAB200"/>
        </patternFill>
      </fill>
    </dxf>
    <dxf>
      <font>
        <color auto="1"/>
      </font>
      <fill>
        <patternFill>
          <bgColor rgb="FFEAB200"/>
        </patternFill>
      </fill>
    </dxf>
    <dxf>
      <font>
        <color rgb="FFFFFF00"/>
      </font>
      <fill>
        <patternFill>
          <bgColor rgb="FF0070C0"/>
        </patternFill>
      </fill>
    </dxf>
    <dxf>
      <font>
        <color rgb="FFFFFF00"/>
      </font>
      <fill>
        <patternFill>
          <bgColor rgb="FF0070C0"/>
        </patternFill>
      </fill>
    </dxf>
    <dxf>
      <font>
        <color rgb="FFFFFF00"/>
      </font>
      <fill>
        <patternFill>
          <bgColor rgb="FF0070C0"/>
        </patternFill>
      </fill>
    </dxf>
    <dxf>
      <font>
        <color rgb="FFFFFF00"/>
      </font>
      <fill>
        <patternFill>
          <bgColor rgb="FF0070C0"/>
        </patternFill>
      </fill>
    </dxf>
    <dxf>
      <font>
        <color rgb="FFFFFF00"/>
      </font>
      <fill>
        <patternFill>
          <bgColor rgb="FF0070C0"/>
        </patternFill>
      </fill>
    </dxf>
    <dxf>
      <font>
        <color rgb="FFFFFF00"/>
      </font>
      <fill>
        <patternFill>
          <bgColor rgb="FF0070C0"/>
        </patternFill>
      </fill>
    </dxf>
    <dxf>
      <font>
        <color rgb="FFFFFF00"/>
      </font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EAB200"/>
        </patternFill>
      </fill>
    </dxf>
    <dxf>
      <font>
        <color auto="1"/>
      </font>
      <fill>
        <patternFill>
          <bgColor rgb="FFEAB200"/>
        </patternFill>
      </fill>
    </dxf>
    <dxf>
      <font>
        <color auto="1"/>
      </font>
      <fill>
        <patternFill>
          <bgColor rgb="FFEAB200"/>
        </patternFill>
      </fill>
    </dxf>
    <dxf>
      <font>
        <color rgb="FFFFFF00"/>
      </font>
      <fill>
        <patternFill>
          <bgColor rgb="FF0070C0"/>
        </patternFill>
      </fill>
    </dxf>
    <dxf>
      <font>
        <color rgb="FFFFFF00"/>
      </font>
      <fill>
        <patternFill>
          <bgColor rgb="FF0070C0"/>
        </patternFill>
      </fill>
    </dxf>
    <dxf>
      <font>
        <color rgb="FFFFFF00"/>
      </font>
      <fill>
        <patternFill>
          <bgColor rgb="FF0070C0"/>
        </patternFill>
      </fill>
    </dxf>
    <dxf>
      <font>
        <color rgb="FFFFFF00"/>
      </font>
      <fill>
        <patternFill>
          <bgColor rgb="FF0070C0"/>
        </patternFill>
      </fill>
    </dxf>
    <dxf>
      <font>
        <color rgb="FFFFFF00"/>
      </font>
      <fill>
        <patternFill>
          <bgColor rgb="FF0070C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EAB200"/>
        </patternFill>
      </fill>
    </dxf>
    <dxf>
      <font>
        <color rgb="FFFFFF00"/>
      </font>
      <fill>
        <patternFill>
          <bgColor rgb="FF0070C0"/>
        </patternFill>
      </fill>
    </dxf>
    <dxf>
      <font>
        <color rgb="FFFFFF00"/>
      </font>
      <fill>
        <patternFill>
          <bgColor rgb="FF0070C0"/>
        </patternFill>
      </fill>
    </dxf>
    <dxf>
      <font>
        <color rgb="FFFFFF00"/>
      </font>
      <fill>
        <patternFill>
          <bgColor rgb="FF0070C0"/>
        </patternFill>
      </fill>
    </dxf>
    <dxf>
      <font>
        <color auto="1"/>
      </font>
      <fill>
        <patternFill>
          <bgColor rgb="FFEAB200"/>
        </patternFill>
      </fill>
    </dxf>
    <dxf>
      <font>
        <color auto="1"/>
      </font>
      <fill>
        <patternFill>
          <bgColor rgb="FFEAB2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EAB200"/>
        </patternFill>
      </fill>
    </dxf>
    <dxf>
      <font>
        <color auto="1"/>
      </font>
      <fill>
        <patternFill>
          <bgColor rgb="FFEAB200"/>
        </patternFill>
      </fill>
    </dxf>
    <dxf>
      <font>
        <color rgb="FFFFFF00"/>
      </font>
      <fill>
        <patternFill>
          <bgColor rgb="FF0070C0"/>
        </patternFill>
      </fill>
    </dxf>
    <dxf>
      <font>
        <color rgb="FFFFFF00"/>
      </font>
      <fill>
        <patternFill>
          <bgColor rgb="FF0070C0"/>
        </patternFill>
      </fill>
    </dxf>
    <dxf>
      <font>
        <color rgb="FFFFFF00"/>
      </font>
      <fill>
        <patternFill>
          <bgColor rgb="FF0070C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0ECF2"/>
      <color rgb="FF008FFA"/>
      <color rgb="FFF79709"/>
      <color rgb="FFD9E1F2"/>
      <color rgb="FFE9ABDC"/>
      <color rgb="FFA23636"/>
      <color rgb="FFC65911"/>
      <color rgb="FF0070C0"/>
      <color rgb="FF00B050"/>
      <color rgb="FFEAB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pl-PL" sz="1500" b="1"/>
              <a:t>STOPIEŃ</a:t>
            </a:r>
            <a:r>
              <a:rPr lang="pl-PL" sz="1500" b="1" baseline="0"/>
              <a:t> WYSYCENIA EFEKTÓW W CYKLU KSZTAŁCENIA</a:t>
            </a:r>
            <a:endParaRPr lang="pl-PL" sz="15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Matryca!$T$18:$CC$19</c:f>
              <c:multiLvlStrCache>
                <c:ptCount val="50"/>
                <c:lvl>
                  <c:pt idx="0">
                    <c:v>K_W01</c:v>
                  </c:pt>
                  <c:pt idx="1">
                    <c:v>K_W02</c:v>
                  </c:pt>
                  <c:pt idx="2">
                    <c:v>K_W03</c:v>
                  </c:pt>
                  <c:pt idx="3">
                    <c:v>K_W04</c:v>
                  </c:pt>
                  <c:pt idx="4">
                    <c:v>K_W05</c:v>
                  </c:pt>
                  <c:pt idx="5">
                    <c:v>K_W06</c:v>
                  </c:pt>
                  <c:pt idx="6">
                    <c:v>K_W07</c:v>
                  </c:pt>
                  <c:pt idx="7">
                    <c:v>K_W08</c:v>
                  </c:pt>
                  <c:pt idx="8">
                    <c:v>K_W09</c:v>
                  </c:pt>
                  <c:pt idx="9">
                    <c:v>K_W10</c:v>
                  </c:pt>
                  <c:pt idx="10">
                    <c:v>K_W11</c:v>
                  </c:pt>
                  <c:pt idx="11">
                    <c:v>K_W12</c:v>
                  </c:pt>
                  <c:pt idx="12">
                    <c:v>K_U01</c:v>
                  </c:pt>
                  <c:pt idx="13">
                    <c:v>K_U02</c:v>
                  </c:pt>
                  <c:pt idx="14">
                    <c:v>K_U03</c:v>
                  </c:pt>
                  <c:pt idx="15">
                    <c:v>K_U04</c:v>
                  </c:pt>
                  <c:pt idx="16">
                    <c:v>K_U05</c:v>
                  </c:pt>
                  <c:pt idx="17">
                    <c:v>K_U06</c:v>
                  </c:pt>
                  <c:pt idx="18">
                    <c:v>K_U07</c:v>
                  </c:pt>
                  <c:pt idx="19">
                    <c:v>K_U08</c:v>
                  </c:pt>
                  <c:pt idx="20">
                    <c:v>K_U09</c:v>
                  </c:pt>
                  <c:pt idx="21">
                    <c:v>K_U10</c:v>
                  </c:pt>
                  <c:pt idx="22">
                    <c:v>K_U11</c:v>
                  </c:pt>
                  <c:pt idx="23">
                    <c:v>K_U12</c:v>
                  </c:pt>
                  <c:pt idx="24">
                    <c:v>K_U13</c:v>
                  </c:pt>
                  <c:pt idx="25">
                    <c:v>K_U14</c:v>
                  </c:pt>
                  <c:pt idx="26">
                    <c:v>K_U15</c:v>
                  </c:pt>
                  <c:pt idx="27">
                    <c:v>K_U16</c:v>
                  </c:pt>
                  <c:pt idx="28">
                    <c:v>K_U17</c:v>
                  </c:pt>
                  <c:pt idx="29">
                    <c:v>K_U18</c:v>
                  </c:pt>
                  <c:pt idx="30">
                    <c:v>K_U19</c:v>
                  </c:pt>
                  <c:pt idx="31">
                    <c:v>K_U20</c:v>
                  </c:pt>
                  <c:pt idx="32">
                    <c:v>K_U21</c:v>
                  </c:pt>
                  <c:pt idx="33">
                    <c:v>K_U22</c:v>
                  </c:pt>
                  <c:pt idx="34">
                    <c:v>K_U23</c:v>
                  </c:pt>
                  <c:pt idx="35">
                    <c:v>K_U24</c:v>
                  </c:pt>
                  <c:pt idx="36">
                    <c:v>K_U25</c:v>
                  </c:pt>
                  <c:pt idx="37">
                    <c:v>K_U26</c:v>
                  </c:pt>
                  <c:pt idx="38">
                    <c:v>K_U27</c:v>
                  </c:pt>
                  <c:pt idx="39">
                    <c:v>K_U28</c:v>
                  </c:pt>
                  <c:pt idx="40">
                    <c:v>K_K01</c:v>
                  </c:pt>
                  <c:pt idx="41">
                    <c:v>K_K02</c:v>
                  </c:pt>
                  <c:pt idx="42">
                    <c:v>K_K03</c:v>
                  </c:pt>
                  <c:pt idx="43">
                    <c:v>K_K04</c:v>
                  </c:pt>
                  <c:pt idx="44">
                    <c:v>K_K05</c:v>
                  </c:pt>
                  <c:pt idx="45">
                    <c:v>K_K06</c:v>
                  </c:pt>
                  <c:pt idx="46">
                    <c:v>K_K07</c:v>
                  </c:pt>
                  <c:pt idx="47">
                    <c:v>K_K08</c:v>
                  </c:pt>
                  <c:pt idx="48">
                    <c:v>K_K09</c:v>
                  </c:pt>
                </c:lvl>
                <c:lvl>
                  <c:pt idx="0">
                    <c:v>Wiedza</c:v>
                  </c:pt>
                  <c:pt idx="12">
                    <c:v>Umiejętności</c:v>
                  </c:pt>
                  <c:pt idx="40">
                    <c:v>Kompetencje społeczne</c:v>
                  </c:pt>
                  <c:pt idx="49">
                    <c:v>Proporcje poszczególnych kategorii efektów dla przedmiotu</c:v>
                  </c:pt>
                </c:lvl>
              </c:multiLvlStrCache>
            </c:multiLvlStrRef>
          </c:cat>
          <c:val>
            <c:numRef>
              <c:f>Matryca!$T$123:$BP$123</c:f>
              <c:numCache>
                <c:formatCode>General</c:formatCode>
                <c:ptCount val="49"/>
                <c:pt idx="0">
                  <c:v>17</c:v>
                </c:pt>
                <c:pt idx="1">
                  <c:v>13</c:v>
                </c:pt>
                <c:pt idx="2">
                  <c:v>15</c:v>
                </c:pt>
                <c:pt idx="3">
                  <c:v>11</c:v>
                </c:pt>
                <c:pt idx="4">
                  <c:v>16</c:v>
                </c:pt>
                <c:pt idx="5">
                  <c:v>9</c:v>
                </c:pt>
                <c:pt idx="6">
                  <c:v>13</c:v>
                </c:pt>
                <c:pt idx="7">
                  <c:v>18</c:v>
                </c:pt>
                <c:pt idx="8">
                  <c:v>15</c:v>
                </c:pt>
                <c:pt idx="9">
                  <c:v>14</c:v>
                </c:pt>
                <c:pt idx="10">
                  <c:v>7</c:v>
                </c:pt>
                <c:pt idx="11">
                  <c:v>5</c:v>
                </c:pt>
                <c:pt idx="12">
                  <c:v>13</c:v>
                </c:pt>
                <c:pt idx="13">
                  <c:v>12</c:v>
                </c:pt>
                <c:pt idx="14">
                  <c:v>19</c:v>
                </c:pt>
                <c:pt idx="15">
                  <c:v>15</c:v>
                </c:pt>
                <c:pt idx="16">
                  <c:v>19</c:v>
                </c:pt>
                <c:pt idx="17">
                  <c:v>17</c:v>
                </c:pt>
                <c:pt idx="18">
                  <c:v>17</c:v>
                </c:pt>
                <c:pt idx="19">
                  <c:v>15</c:v>
                </c:pt>
                <c:pt idx="20">
                  <c:v>19</c:v>
                </c:pt>
                <c:pt idx="21">
                  <c:v>14</c:v>
                </c:pt>
                <c:pt idx="22">
                  <c:v>16</c:v>
                </c:pt>
                <c:pt idx="23">
                  <c:v>4</c:v>
                </c:pt>
                <c:pt idx="24">
                  <c:v>12</c:v>
                </c:pt>
                <c:pt idx="25">
                  <c:v>12</c:v>
                </c:pt>
                <c:pt idx="26">
                  <c:v>11</c:v>
                </c:pt>
                <c:pt idx="27">
                  <c:v>9</c:v>
                </c:pt>
                <c:pt idx="28">
                  <c:v>7</c:v>
                </c:pt>
                <c:pt idx="29">
                  <c:v>16</c:v>
                </c:pt>
                <c:pt idx="30">
                  <c:v>10</c:v>
                </c:pt>
                <c:pt idx="31">
                  <c:v>10</c:v>
                </c:pt>
                <c:pt idx="32">
                  <c:v>16</c:v>
                </c:pt>
                <c:pt idx="33">
                  <c:v>16</c:v>
                </c:pt>
                <c:pt idx="34">
                  <c:v>12</c:v>
                </c:pt>
                <c:pt idx="35">
                  <c:v>9</c:v>
                </c:pt>
                <c:pt idx="36">
                  <c:v>8</c:v>
                </c:pt>
                <c:pt idx="37">
                  <c:v>8</c:v>
                </c:pt>
                <c:pt idx="38">
                  <c:v>13</c:v>
                </c:pt>
                <c:pt idx="39">
                  <c:v>15</c:v>
                </c:pt>
                <c:pt idx="40">
                  <c:v>34</c:v>
                </c:pt>
                <c:pt idx="41">
                  <c:v>21</c:v>
                </c:pt>
                <c:pt idx="42">
                  <c:v>17</c:v>
                </c:pt>
                <c:pt idx="43">
                  <c:v>13</c:v>
                </c:pt>
                <c:pt idx="44">
                  <c:v>19</c:v>
                </c:pt>
                <c:pt idx="45">
                  <c:v>12</c:v>
                </c:pt>
                <c:pt idx="46">
                  <c:v>12</c:v>
                </c:pt>
                <c:pt idx="47">
                  <c:v>9</c:v>
                </c:pt>
                <c:pt idx="48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8E-4901-A356-7A6C858522A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64441167"/>
        <c:axId val="1764439503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>
                    <a:gsLst>
                      <a:gs pos="0">
                        <a:schemeClr val="accent1"/>
                      </a:gs>
                      <a:gs pos="100000">
                        <a:schemeClr val="accent1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Matryca!$T$18:$CC$19</c15:sqref>
                        </c15:formulaRef>
                      </c:ext>
                    </c:extLst>
                    <c:multiLvlStrCache>
                      <c:ptCount val="50"/>
                      <c:lvl>
                        <c:pt idx="0">
                          <c:v>K_W01</c:v>
                        </c:pt>
                        <c:pt idx="1">
                          <c:v>K_W02</c:v>
                        </c:pt>
                        <c:pt idx="2">
                          <c:v>K_W03</c:v>
                        </c:pt>
                        <c:pt idx="3">
                          <c:v>K_W04</c:v>
                        </c:pt>
                        <c:pt idx="4">
                          <c:v>K_W05</c:v>
                        </c:pt>
                        <c:pt idx="5">
                          <c:v>K_W06</c:v>
                        </c:pt>
                        <c:pt idx="6">
                          <c:v>K_W07</c:v>
                        </c:pt>
                        <c:pt idx="7">
                          <c:v>K_W08</c:v>
                        </c:pt>
                        <c:pt idx="8">
                          <c:v>K_W09</c:v>
                        </c:pt>
                        <c:pt idx="9">
                          <c:v>K_W10</c:v>
                        </c:pt>
                        <c:pt idx="10">
                          <c:v>K_W11</c:v>
                        </c:pt>
                        <c:pt idx="11">
                          <c:v>K_W12</c:v>
                        </c:pt>
                        <c:pt idx="12">
                          <c:v>K_U01</c:v>
                        </c:pt>
                        <c:pt idx="13">
                          <c:v>K_U02</c:v>
                        </c:pt>
                        <c:pt idx="14">
                          <c:v>K_U03</c:v>
                        </c:pt>
                        <c:pt idx="15">
                          <c:v>K_U04</c:v>
                        </c:pt>
                        <c:pt idx="16">
                          <c:v>K_U05</c:v>
                        </c:pt>
                        <c:pt idx="17">
                          <c:v>K_U06</c:v>
                        </c:pt>
                        <c:pt idx="18">
                          <c:v>K_U07</c:v>
                        </c:pt>
                        <c:pt idx="19">
                          <c:v>K_U08</c:v>
                        </c:pt>
                        <c:pt idx="20">
                          <c:v>K_U09</c:v>
                        </c:pt>
                        <c:pt idx="21">
                          <c:v>K_U10</c:v>
                        </c:pt>
                        <c:pt idx="22">
                          <c:v>K_U11</c:v>
                        </c:pt>
                        <c:pt idx="23">
                          <c:v>K_U12</c:v>
                        </c:pt>
                        <c:pt idx="24">
                          <c:v>K_U13</c:v>
                        </c:pt>
                        <c:pt idx="25">
                          <c:v>K_U14</c:v>
                        </c:pt>
                        <c:pt idx="26">
                          <c:v>K_U15</c:v>
                        </c:pt>
                        <c:pt idx="27">
                          <c:v>K_U16</c:v>
                        </c:pt>
                        <c:pt idx="28">
                          <c:v>K_U17</c:v>
                        </c:pt>
                        <c:pt idx="29">
                          <c:v>K_U18</c:v>
                        </c:pt>
                        <c:pt idx="30">
                          <c:v>K_U19</c:v>
                        </c:pt>
                        <c:pt idx="31">
                          <c:v>K_U20</c:v>
                        </c:pt>
                        <c:pt idx="32">
                          <c:v>K_U21</c:v>
                        </c:pt>
                        <c:pt idx="33">
                          <c:v>K_U22</c:v>
                        </c:pt>
                        <c:pt idx="34">
                          <c:v>K_U23</c:v>
                        </c:pt>
                        <c:pt idx="35">
                          <c:v>K_U24</c:v>
                        </c:pt>
                        <c:pt idx="36">
                          <c:v>K_U25</c:v>
                        </c:pt>
                        <c:pt idx="37">
                          <c:v>K_U26</c:v>
                        </c:pt>
                        <c:pt idx="38">
                          <c:v>K_U27</c:v>
                        </c:pt>
                        <c:pt idx="39">
                          <c:v>K_U28</c:v>
                        </c:pt>
                        <c:pt idx="40">
                          <c:v>K_K01</c:v>
                        </c:pt>
                        <c:pt idx="41">
                          <c:v>K_K02</c:v>
                        </c:pt>
                        <c:pt idx="42">
                          <c:v>K_K03</c:v>
                        </c:pt>
                        <c:pt idx="43">
                          <c:v>K_K04</c:v>
                        </c:pt>
                        <c:pt idx="44">
                          <c:v>K_K05</c:v>
                        </c:pt>
                        <c:pt idx="45">
                          <c:v>K_K06</c:v>
                        </c:pt>
                        <c:pt idx="46">
                          <c:v>K_K07</c:v>
                        </c:pt>
                        <c:pt idx="47">
                          <c:v>K_K08</c:v>
                        </c:pt>
                        <c:pt idx="48">
                          <c:v>K_K09</c:v>
                        </c:pt>
                      </c:lvl>
                      <c:lvl>
                        <c:pt idx="0">
                          <c:v>Wiedza</c:v>
                        </c:pt>
                        <c:pt idx="12">
                          <c:v>Umiejętności</c:v>
                        </c:pt>
                        <c:pt idx="40">
                          <c:v>Kompetencje społeczne</c:v>
                        </c:pt>
                        <c:pt idx="49">
                          <c:v>Proporcje poszczególnych kategorii efektów dla przedmiotu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Matryca!$T$19:$BP$19</c15:sqref>
                        </c15:formulaRef>
                      </c:ext>
                    </c:extLst>
                    <c:numCache>
                      <c:formatCode>General</c:formatCode>
                      <c:ptCount val="4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A28E-4901-A356-7A6C858522A1}"/>
                  </c:ext>
                </c:extLst>
              </c15:ser>
            </c15:filteredBarSeries>
          </c:ext>
        </c:extLst>
      </c:barChart>
      <c:catAx>
        <c:axId val="1764441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64439503"/>
        <c:crosses val="autoZero"/>
        <c:auto val="0"/>
        <c:lblAlgn val="ctr"/>
        <c:lblOffset val="100"/>
        <c:noMultiLvlLbl val="0"/>
      </c:catAx>
      <c:valAx>
        <c:axId val="176443950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6444116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433240929192142E-2"/>
          <c:y val="6.074107131463456E-3"/>
          <c:w val="0.96713351814161574"/>
          <c:h val="0.99095211920282589"/>
        </c:manualLayout>
      </c:layout>
      <c:barChart>
        <c:barDir val="bar"/>
        <c:grouping val="percentStacked"/>
        <c:varyColors val="0"/>
        <c:ser>
          <c:idx val="0"/>
          <c:order val="0"/>
          <c:tx>
            <c:v>WIEDZA</c:v>
          </c:tx>
          <c:spPr>
            <a:solidFill>
              <a:srgbClr val="00B05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Matryca!$I$20:$I$123</c:f>
              <c:strCache>
                <c:ptCount val="104"/>
                <c:pt idx="0">
                  <c:v>Biologiczne uwarunkowania procesów psychicznych</c:v>
                </c:pt>
                <c:pt idx="1">
                  <c:v>Podejście evidence based w psychologii</c:v>
                </c:pt>
                <c:pt idx="2">
                  <c:v>Filozofia z logiką</c:v>
                </c:pt>
                <c:pt idx="3">
                  <c:v>Psychogenetyka</c:v>
                </c:pt>
                <c:pt idx="4">
                  <c:v>Kompetencje akademickie</c:v>
                </c:pt>
                <c:pt idx="5">
                  <c:v>Lektorat z języka angielskiego I</c:v>
                </c:pt>
                <c:pt idx="6">
                  <c:v>Lektorat z języka angielskiego II</c:v>
                </c:pt>
                <c:pt idx="7">
                  <c:v>Neurobiologia i mechanizmy zachowania</c:v>
                </c:pt>
                <c:pt idx="8">
                  <c:v>Podstawy neurofizjologii dla psychologów</c:v>
                </c:pt>
                <c:pt idx="9">
                  <c:v>Pierwsza pomoc medyczna</c:v>
                </c:pt>
                <c:pt idx="10">
                  <c:v>Podstawy technologii informacyjnej </c:v>
                </c:pt>
                <c:pt idx="11">
                  <c:v>Przedmiot fakultatywny 1: Rola organizacji pozarządowych w systemie ochrony zdrowia / Sport, umysł i granice ludzkich możliwości </c:v>
                </c:pt>
                <c:pt idx="12">
                  <c:v>Przedmiot fakultatywny 2: Społeczne przyczyny kryzysów psychicznych / Podstawy neurobiologii eksperymentalnej </c:v>
                </c:pt>
                <c:pt idx="13">
                  <c:v>Psychologia ogólna</c:v>
                </c:pt>
                <c:pt idx="14">
                  <c:v>Psychologia społeczna</c:v>
                </c:pt>
                <c:pt idx="15">
                  <c:v>Trening umiejętności interpersonalnych I</c:v>
                </c:pt>
                <c:pt idx="16">
                  <c:v>Trening umiejętności interpersonalnych II</c:v>
                </c:pt>
                <c:pt idx="17">
                  <c:v>Wprowadzenie do neuroanatomii</c:v>
                </c:pt>
                <c:pt idx="18">
                  <c:v>Wprowadzenie do psychologii i historii myśli psychologicznej</c:v>
                </c:pt>
                <c:pt idx="19">
                  <c:v>Wprowadzenie do psychologii społecznej</c:v>
                </c:pt>
                <c:pt idx="20">
                  <c:v>Wychowanie fizyczne I</c:v>
                </c:pt>
                <c:pt idx="21">
                  <c:v>Wychowanie fizyczne II</c:v>
                </c:pt>
                <c:pt idx="22">
                  <c:v>sumy dla 1 roku</c:v>
                </c:pt>
                <c:pt idx="23">
                  <c:v>Etyka zawodu psychologa</c:v>
                </c:pt>
                <c:pt idx="24">
                  <c:v>Lektorat z języka angielskiego III</c:v>
                </c:pt>
                <c:pt idx="25">
                  <c:v>Lektorat z języka angielskiego IV</c:v>
                </c:pt>
                <c:pt idx="26">
                  <c:v>Metodologia badań psychologicznych I</c:v>
                </c:pt>
                <c:pt idx="27">
                  <c:v>Ochrona własności intelektualnej</c:v>
                </c:pt>
                <c:pt idx="28">
                  <c:v>Podstawy pomocy psychologicznej </c:v>
                </c:pt>
                <c:pt idx="29">
                  <c:v>Praktyki zawodowe w zakresie pomocy psychologicznej </c:v>
                </c:pt>
                <c:pt idx="30">
                  <c:v>Praktyki zawodowe w zakresie promocji i edukacji zdrowia</c:v>
                </c:pt>
                <c:pt idx="31">
                  <c:v>Przedmiot fakultatywny 3: Prowadzenie działalności / Kampanie społeczne</c:v>
                </c:pt>
                <c:pt idx="32">
                  <c:v>Przedmiot fakultatywny 4: Podstawy organizacji i zarządzania / Psychologia języka</c:v>
                </c:pt>
                <c:pt idx="33">
                  <c:v>Psychologia emocji i motywacji I</c:v>
                </c:pt>
                <c:pt idx="34">
                  <c:v>Psychologia emocji i motywacji II</c:v>
                </c:pt>
                <c:pt idx="35">
                  <c:v>Psychologia osobowości</c:v>
                </c:pt>
                <c:pt idx="36">
                  <c:v>Psychologia procesów poznawczych </c:v>
                </c:pt>
                <c:pt idx="37">
                  <c:v>Psychologia rozwoju człowieka</c:v>
                </c:pt>
                <c:pt idx="38">
                  <c:v>Psychologia różnic indywidualnych I</c:v>
                </c:pt>
                <c:pt idx="39">
                  <c:v>Psychologia różnic indywidualnych II</c:v>
                </c:pt>
                <c:pt idx="40">
                  <c:v>Socjologia</c:v>
                </c:pt>
                <c:pt idx="41">
                  <c:v>sumy dla 2 roku</c:v>
                </c:pt>
                <c:pt idx="42">
                  <c:v>Metodologia badań psychologicznych II</c:v>
                </c:pt>
                <c:pt idx="43">
                  <c:v>Neuropsychologia</c:v>
                </c:pt>
                <c:pt idx="44">
                  <c:v>Podstawy neurologii </c:v>
                </c:pt>
                <c:pt idx="45">
                  <c:v>Praktyki zawodowe w zakresie psychologicznej diagnozy i terapii chorób somatycznych</c:v>
                </c:pt>
                <c:pt idx="46">
                  <c:v>Praktyki zawodowe w zakresie klinicznej diagnozy psychologicznej dorosłych</c:v>
                </c:pt>
                <c:pt idx="47">
                  <c:v>Projekt badawczy grupowy- psychologia zdrowia / psychologia kliniczna</c:v>
                </c:pt>
                <c:pt idx="48">
                  <c:v>Przedmiot fakultatywny 5: Zaburzenia neurorozwojowe / Psychologia kryminalna</c:v>
                </c:pt>
                <c:pt idx="49">
                  <c:v>Przedmiot fakultatywny 6: Podstawy uczenia maszynowego i sieci neuronowych / Psychologia człowieka w świecie AI</c:v>
                </c:pt>
                <c:pt idx="50">
                  <c:v>Psychologia kliniczna dorosłych</c:v>
                </c:pt>
                <c:pt idx="51">
                  <c:v>Psychologia kliniczna dzieci i młodzieży</c:v>
                </c:pt>
                <c:pt idx="52">
                  <c:v>Psychologia środowiska</c:v>
                </c:pt>
                <c:pt idx="53">
                  <c:v>Psychologia zarządzania</c:v>
                </c:pt>
                <c:pt idx="54">
                  <c:v>Psychologia zdrowia</c:v>
                </c:pt>
                <c:pt idx="55">
                  <c:v>Psychometria</c:v>
                </c:pt>
                <c:pt idx="56">
                  <c:v>Psychopatologia</c:v>
                </c:pt>
                <c:pt idx="57">
                  <c:v>Statystyka I</c:v>
                </c:pt>
                <c:pt idx="58">
                  <c:v>Statystyka II</c:v>
                </c:pt>
                <c:pt idx="59">
                  <c:v>Wprowadzenie do psychologii klinicznej</c:v>
                </c:pt>
                <c:pt idx="60">
                  <c:v>sumy dla 3 roku</c:v>
                </c:pt>
                <c:pt idx="61">
                  <c:v>Psychiatria</c:v>
                </c:pt>
                <c:pt idx="62">
                  <c:v>Psychofarmakologia</c:v>
                </c:pt>
                <c:pt idx="63">
                  <c:v>Przedmiot fakultatywny 7: Trening komunikacji międzykulturowej  / Psychoseksuologia (PK) / Terapia perfekcjonizmu w podejściu poznawczo – behawioralnym (PZ)</c:v>
                </c:pt>
                <c:pt idx="64">
                  <c:v>Przedmiot fakultatywny 8:  Podstawy marketingu / Psychologia zwycięstwa</c:v>
                </c:pt>
                <c:pt idx="65">
                  <c:v>Przedmiot fakultatywny 9: Podstawy psychoterapii zaburzeń odżywiania / Podstawy terapii DBT</c:v>
                </c:pt>
                <c:pt idx="66">
                  <c:v>Praktyki zawodowe w zakresie klinicznej diagnozy psychologicznej dzieci i młodzieży</c:v>
                </c:pt>
                <c:pt idx="67">
                  <c:v>Praktyki zawodowe w zakresie neuropsychologii</c:v>
                </c:pt>
                <c:pt idx="68">
                  <c:v>Seminarium magisterskie I</c:v>
                </c:pt>
                <c:pt idx="69">
                  <c:v>Seminarium magisterskie II</c:v>
                </c:pt>
                <c:pt idx="70">
                  <c:v>Diagnoza neuropsychologiczna</c:v>
                </c:pt>
                <c:pt idx="71">
                  <c:v>Neuroobrazowanie w diagnozie psychologicznej</c:v>
                </c:pt>
                <c:pt idx="72">
                  <c:v>Podstawy psychologii sądowej</c:v>
                </c:pt>
                <c:pt idx="73">
                  <c:v>Podstawy psychoterapii</c:v>
                </c:pt>
                <c:pt idx="74">
                  <c:v>Psychologia uzależnień</c:v>
                </c:pt>
                <c:pt idx="75">
                  <c:v>Psychologiczna diagnoza kliniczna dorosłych</c:v>
                </c:pt>
                <c:pt idx="76">
                  <c:v>Psychologiczna diagnoza dzieci i młodzieży z elementami psychoterapii</c:v>
                </c:pt>
                <c:pt idx="77">
                  <c:v>Poradnictwo psychologiczne</c:v>
                </c:pt>
                <c:pt idx="78">
                  <c:v>Elementy psychologii edukacji</c:v>
                </c:pt>
                <c:pt idx="79">
                  <c:v>Psychologia kryzysu i stresu w praktyce pomocowej</c:v>
                </c:pt>
                <c:pt idx="80">
                  <c:v>Psychologia zaburzeń somatycznych</c:v>
                </c:pt>
                <c:pt idx="81">
                  <c:v>Projektowanie i prowadzenie szkoleń</c:v>
                </c:pt>
                <c:pt idx="82">
                  <c:v>Promocja zdrowia</c:v>
                </c:pt>
                <c:pt idx="83">
                  <c:v>Rehabilitacja psychologiczna</c:v>
                </c:pt>
                <c:pt idx="84">
                  <c:v>sumy dla 4 roku</c:v>
                </c:pt>
                <c:pt idx="85">
                  <c:v>Interwencja kryzysowa</c:v>
                </c:pt>
                <c:pt idx="86">
                  <c:v>Przedmiot fakultatywny 10: Zachowania suicydalne – diagnoza i terapia / PK: ADHD – diagnoza i terapia; 
PZ: Fizjoprofilaktyka</c:v>
                </c:pt>
                <c:pt idx="87">
                  <c:v>Seksuologia</c:v>
                </c:pt>
                <c:pt idx="88">
                  <c:v>Seminarium magisterskie III</c:v>
                </c:pt>
                <c:pt idx="89">
                  <c:v>Seminarium magisterskie IV</c:v>
                </c:pt>
                <c:pt idx="90">
                  <c:v>Psychoanaliza i terapia psychodynamiczna</c:v>
                </c:pt>
                <c:pt idx="91">
                  <c:v>Psychogeriatria</c:v>
                </c:pt>
                <c:pt idx="92">
                  <c:v>Psychologia rodziny</c:v>
                </c:pt>
                <c:pt idx="93">
                  <c:v>Psychoterapia humanistyczno-egzystencjalna</c:v>
                </c:pt>
                <c:pt idx="94">
                  <c:v>Psychoterapia poznawczo-behawioralna</c:v>
                </c:pt>
                <c:pt idx="95">
                  <c:v>Psychoterapia systemowa</c:v>
                </c:pt>
                <c:pt idx="96">
                  <c:v>Elementy psychologii pracy i organizacji</c:v>
                </c:pt>
                <c:pt idx="97">
                  <c:v>Psychodietetyka</c:v>
                </c:pt>
                <c:pt idx="98">
                  <c:v>Psychologia sportu</c:v>
                </c:pt>
                <c:pt idx="99">
                  <c:v>Psychoonkologia</c:v>
                </c:pt>
                <c:pt idx="100">
                  <c:v>Psychoseksuologia</c:v>
                </c:pt>
                <c:pt idx="101">
                  <c:v>Zdrowie publiczne w praktyce psychologa</c:v>
                </c:pt>
                <c:pt idx="102">
                  <c:v>sumy dla 5 roku</c:v>
                </c:pt>
                <c:pt idx="103">
                  <c:v>RAZEM</c:v>
                </c:pt>
              </c:strCache>
            </c:strRef>
          </c:cat>
          <c:val>
            <c:numRef>
              <c:f>Matryca!$Q$20:$Q$123</c:f>
              <c:numCache>
                <c:formatCode>General</c:formatCode>
                <c:ptCount val="10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17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  <c:pt idx="27">
                  <c:v>1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2</c:v>
                </c:pt>
                <c:pt idx="37">
                  <c:v>3</c:v>
                </c:pt>
                <c:pt idx="38">
                  <c:v>1</c:v>
                </c:pt>
                <c:pt idx="39">
                  <c:v>2</c:v>
                </c:pt>
                <c:pt idx="40">
                  <c:v>1</c:v>
                </c:pt>
                <c:pt idx="41">
                  <c:v>21</c:v>
                </c:pt>
                <c:pt idx="42">
                  <c:v>3</c:v>
                </c:pt>
                <c:pt idx="43">
                  <c:v>2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2</c:v>
                </c:pt>
                <c:pt idx="48">
                  <c:v>0</c:v>
                </c:pt>
                <c:pt idx="49">
                  <c:v>0</c:v>
                </c:pt>
                <c:pt idx="50">
                  <c:v>2</c:v>
                </c:pt>
                <c:pt idx="51">
                  <c:v>2</c:v>
                </c:pt>
                <c:pt idx="52">
                  <c:v>1</c:v>
                </c:pt>
                <c:pt idx="53">
                  <c:v>2</c:v>
                </c:pt>
                <c:pt idx="54">
                  <c:v>1</c:v>
                </c:pt>
                <c:pt idx="55">
                  <c:v>1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3</c:v>
                </c:pt>
                <c:pt idx="60">
                  <c:v>26</c:v>
                </c:pt>
                <c:pt idx="61">
                  <c:v>4</c:v>
                </c:pt>
                <c:pt idx="62">
                  <c:v>2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3</c:v>
                </c:pt>
                <c:pt idx="69">
                  <c:v>3</c:v>
                </c:pt>
                <c:pt idx="70">
                  <c:v>2</c:v>
                </c:pt>
                <c:pt idx="71">
                  <c:v>2</c:v>
                </c:pt>
                <c:pt idx="72">
                  <c:v>3</c:v>
                </c:pt>
                <c:pt idx="73">
                  <c:v>1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3</c:v>
                </c:pt>
                <c:pt idx="81">
                  <c:v>2</c:v>
                </c:pt>
                <c:pt idx="82">
                  <c:v>1</c:v>
                </c:pt>
                <c:pt idx="83">
                  <c:v>2</c:v>
                </c:pt>
                <c:pt idx="84">
                  <c:v>40</c:v>
                </c:pt>
                <c:pt idx="85">
                  <c:v>2</c:v>
                </c:pt>
                <c:pt idx="86">
                  <c:v>0</c:v>
                </c:pt>
                <c:pt idx="87">
                  <c:v>4</c:v>
                </c:pt>
                <c:pt idx="88">
                  <c:v>3</c:v>
                </c:pt>
                <c:pt idx="89">
                  <c:v>3</c:v>
                </c:pt>
                <c:pt idx="90">
                  <c:v>4</c:v>
                </c:pt>
                <c:pt idx="91">
                  <c:v>3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4</c:v>
                </c:pt>
                <c:pt idx="101">
                  <c:v>2</c:v>
                </c:pt>
                <c:pt idx="102">
                  <c:v>49</c:v>
                </c:pt>
                <c:pt idx="103">
                  <c:v>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0C-49E0-8292-EFDF1663753F}"/>
            </c:ext>
          </c:extLst>
        </c:ser>
        <c:ser>
          <c:idx val="1"/>
          <c:order val="1"/>
          <c:tx>
            <c:v>UMIEJĘTNOŚCI</c:v>
          </c:tx>
          <c:spPr>
            <a:solidFill>
              <a:srgbClr val="0070C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Matryca!$I$20:$I$123</c:f>
              <c:strCache>
                <c:ptCount val="104"/>
                <c:pt idx="0">
                  <c:v>Biologiczne uwarunkowania procesów psychicznych</c:v>
                </c:pt>
                <c:pt idx="1">
                  <c:v>Podejście evidence based w psychologii</c:v>
                </c:pt>
                <c:pt idx="2">
                  <c:v>Filozofia z logiką</c:v>
                </c:pt>
                <c:pt idx="3">
                  <c:v>Psychogenetyka</c:v>
                </c:pt>
                <c:pt idx="4">
                  <c:v>Kompetencje akademickie</c:v>
                </c:pt>
                <c:pt idx="5">
                  <c:v>Lektorat z języka angielskiego I</c:v>
                </c:pt>
                <c:pt idx="6">
                  <c:v>Lektorat z języka angielskiego II</c:v>
                </c:pt>
                <c:pt idx="7">
                  <c:v>Neurobiologia i mechanizmy zachowania</c:v>
                </c:pt>
                <c:pt idx="8">
                  <c:v>Podstawy neurofizjologii dla psychologów</c:v>
                </c:pt>
                <c:pt idx="9">
                  <c:v>Pierwsza pomoc medyczna</c:v>
                </c:pt>
                <c:pt idx="10">
                  <c:v>Podstawy technologii informacyjnej </c:v>
                </c:pt>
                <c:pt idx="11">
                  <c:v>Przedmiot fakultatywny 1: Rola organizacji pozarządowych w systemie ochrony zdrowia / Sport, umysł i granice ludzkich możliwości </c:v>
                </c:pt>
                <c:pt idx="12">
                  <c:v>Przedmiot fakultatywny 2: Społeczne przyczyny kryzysów psychicznych / Podstawy neurobiologii eksperymentalnej </c:v>
                </c:pt>
                <c:pt idx="13">
                  <c:v>Psychologia ogólna</c:v>
                </c:pt>
                <c:pt idx="14">
                  <c:v>Psychologia społeczna</c:v>
                </c:pt>
                <c:pt idx="15">
                  <c:v>Trening umiejętności interpersonalnych I</c:v>
                </c:pt>
                <c:pt idx="16">
                  <c:v>Trening umiejętności interpersonalnych II</c:v>
                </c:pt>
                <c:pt idx="17">
                  <c:v>Wprowadzenie do neuroanatomii</c:v>
                </c:pt>
                <c:pt idx="18">
                  <c:v>Wprowadzenie do psychologii i historii myśli psychologicznej</c:v>
                </c:pt>
                <c:pt idx="19">
                  <c:v>Wprowadzenie do psychologii społecznej</c:v>
                </c:pt>
                <c:pt idx="20">
                  <c:v>Wychowanie fizyczne I</c:v>
                </c:pt>
                <c:pt idx="21">
                  <c:v>Wychowanie fizyczne II</c:v>
                </c:pt>
                <c:pt idx="22">
                  <c:v>sumy dla 1 roku</c:v>
                </c:pt>
                <c:pt idx="23">
                  <c:v>Etyka zawodu psychologa</c:v>
                </c:pt>
                <c:pt idx="24">
                  <c:v>Lektorat z języka angielskiego III</c:v>
                </c:pt>
                <c:pt idx="25">
                  <c:v>Lektorat z języka angielskiego IV</c:v>
                </c:pt>
                <c:pt idx="26">
                  <c:v>Metodologia badań psychologicznych I</c:v>
                </c:pt>
                <c:pt idx="27">
                  <c:v>Ochrona własności intelektualnej</c:v>
                </c:pt>
                <c:pt idx="28">
                  <c:v>Podstawy pomocy psychologicznej </c:v>
                </c:pt>
                <c:pt idx="29">
                  <c:v>Praktyki zawodowe w zakresie pomocy psychologicznej </c:v>
                </c:pt>
                <c:pt idx="30">
                  <c:v>Praktyki zawodowe w zakresie promocji i edukacji zdrowia</c:v>
                </c:pt>
                <c:pt idx="31">
                  <c:v>Przedmiot fakultatywny 3: Prowadzenie działalności / Kampanie społeczne</c:v>
                </c:pt>
                <c:pt idx="32">
                  <c:v>Przedmiot fakultatywny 4: Podstawy organizacji i zarządzania / Psychologia języka</c:v>
                </c:pt>
                <c:pt idx="33">
                  <c:v>Psychologia emocji i motywacji I</c:v>
                </c:pt>
                <c:pt idx="34">
                  <c:v>Psychologia emocji i motywacji II</c:v>
                </c:pt>
                <c:pt idx="35">
                  <c:v>Psychologia osobowości</c:v>
                </c:pt>
                <c:pt idx="36">
                  <c:v>Psychologia procesów poznawczych </c:v>
                </c:pt>
                <c:pt idx="37">
                  <c:v>Psychologia rozwoju człowieka</c:v>
                </c:pt>
                <c:pt idx="38">
                  <c:v>Psychologia różnic indywidualnych I</c:v>
                </c:pt>
                <c:pt idx="39">
                  <c:v>Psychologia różnic indywidualnych II</c:v>
                </c:pt>
                <c:pt idx="40">
                  <c:v>Socjologia</c:v>
                </c:pt>
                <c:pt idx="41">
                  <c:v>sumy dla 2 roku</c:v>
                </c:pt>
                <c:pt idx="42">
                  <c:v>Metodologia badań psychologicznych II</c:v>
                </c:pt>
                <c:pt idx="43">
                  <c:v>Neuropsychologia</c:v>
                </c:pt>
                <c:pt idx="44">
                  <c:v>Podstawy neurologii </c:v>
                </c:pt>
                <c:pt idx="45">
                  <c:v>Praktyki zawodowe w zakresie psychologicznej diagnozy i terapii chorób somatycznych</c:v>
                </c:pt>
                <c:pt idx="46">
                  <c:v>Praktyki zawodowe w zakresie klinicznej diagnozy psychologicznej dorosłych</c:v>
                </c:pt>
                <c:pt idx="47">
                  <c:v>Projekt badawczy grupowy- psychologia zdrowia / psychologia kliniczna</c:v>
                </c:pt>
                <c:pt idx="48">
                  <c:v>Przedmiot fakultatywny 5: Zaburzenia neurorozwojowe / Psychologia kryminalna</c:v>
                </c:pt>
                <c:pt idx="49">
                  <c:v>Przedmiot fakultatywny 6: Podstawy uczenia maszynowego i sieci neuronowych / Psychologia człowieka w świecie AI</c:v>
                </c:pt>
                <c:pt idx="50">
                  <c:v>Psychologia kliniczna dorosłych</c:v>
                </c:pt>
                <c:pt idx="51">
                  <c:v>Psychologia kliniczna dzieci i młodzieży</c:v>
                </c:pt>
                <c:pt idx="52">
                  <c:v>Psychologia środowiska</c:v>
                </c:pt>
                <c:pt idx="53">
                  <c:v>Psychologia zarządzania</c:v>
                </c:pt>
                <c:pt idx="54">
                  <c:v>Psychologia zdrowia</c:v>
                </c:pt>
                <c:pt idx="55">
                  <c:v>Psychometria</c:v>
                </c:pt>
                <c:pt idx="56">
                  <c:v>Psychopatologia</c:v>
                </c:pt>
                <c:pt idx="57">
                  <c:v>Statystyka I</c:v>
                </c:pt>
                <c:pt idx="58">
                  <c:v>Statystyka II</c:v>
                </c:pt>
                <c:pt idx="59">
                  <c:v>Wprowadzenie do psychologii klinicznej</c:v>
                </c:pt>
                <c:pt idx="60">
                  <c:v>sumy dla 3 roku</c:v>
                </c:pt>
                <c:pt idx="61">
                  <c:v>Psychiatria</c:v>
                </c:pt>
                <c:pt idx="62">
                  <c:v>Psychofarmakologia</c:v>
                </c:pt>
                <c:pt idx="63">
                  <c:v>Przedmiot fakultatywny 7: Trening komunikacji międzykulturowej  / Psychoseksuologia (PK) / Terapia perfekcjonizmu w podejściu poznawczo – behawioralnym (PZ)</c:v>
                </c:pt>
                <c:pt idx="64">
                  <c:v>Przedmiot fakultatywny 8:  Podstawy marketingu / Psychologia zwycięstwa</c:v>
                </c:pt>
                <c:pt idx="65">
                  <c:v>Przedmiot fakultatywny 9: Podstawy psychoterapii zaburzeń odżywiania / Podstawy terapii DBT</c:v>
                </c:pt>
                <c:pt idx="66">
                  <c:v>Praktyki zawodowe w zakresie klinicznej diagnozy psychologicznej dzieci i młodzieży</c:v>
                </c:pt>
                <c:pt idx="67">
                  <c:v>Praktyki zawodowe w zakresie neuropsychologii</c:v>
                </c:pt>
                <c:pt idx="68">
                  <c:v>Seminarium magisterskie I</c:v>
                </c:pt>
                <c:pt idx="69">
                  <c:v>Seminarium magisterskie II</c:v>
                </c:pt>
                <c:pt idx="70">
                  <c:v>Diagnoza neuropsychologiczna</c:v>
                </c:pt>
                <c:pt idx="71">
                  <c:v>Neuroobrazowanie w diagnozie psychologicznej</c:v>
                </c:pt>
                <c:pt idx="72">
                  <c:v>Podstawy psychologii sądowej</c:v>
                </c:pt>
                <c:pt idx="73">
                  <c:v>Podstawy psychoterapii</c:v>
                </c:pt>
                <c:pt idx="74">
                  <c:v>Psychologia uzależnień</c:v>
                </c:pt>
                <c:pt idx="75">
                  <c:v>Psychologiczna diagnoza kliniczna dorosłych</c:v>
                </c:pt>
                <c:pt idx="76">
                  <c:v>Psychologiczna diagnoza dzieci i młodzieży z elementami psychoterapii</c:v>
                </c:pt>
                <c:pt idx="77">
                  <c:v>Poradnictwo psychologiczne</c:v>
                </c:pt>
                <c:pt idx="78">
                  <c:v>Elementy psychologii edukacji</c:v>
                </c:pt>
                <c:pt idx="79">
                  <c:v>Psychologia kryzysu i stresu w praktyce pomocowej</c:v>
                </c:pt>
                <c:pt idx="80">
                  <c:v>Psychologia zaburzeń somatycznych</c:v>
                </c:pt>
                <c:pt idx="81">
                  <c:v>Projektowanie i prowadzenie szkoleń</c:v>
                </c:pt>
                <c:pt idx="82">
                  <c:v>Promocja zdrowia</c:v>
                </c:pt>
                <c:pt idx="83">
                  <c:v>Rehabilitacja psychologiczna</c:v>
                </c:pt>
                <c:pt idx="84">
                  <c:v>sumy dla 4 roku</c:v>
                </c:pt>
                <c:pt idx="85">
                  <c:v>Interwencja kryzysowa</c:v>
                </c:pt>
                <c:pt idx="86">
                  <c:v>Przedmiot fakultatywny 10: Zachowania suicydalne – diagnoza i terapia / PK: ADHD – diagnoza i terapia; 
PZ: Fizjoprofilaktyka</c:v>
                </c:pt>
                <c:pt idx="87">
                  <c:v>Seksuologia</c:v>
                </c:pt>
                <c:pt idx="88">
                  <c:v>Seminarium magisterskie III</c:v>
                </c:pt>
                <c:pt idx="89">
                  <c:v>Seminarium magisterskie IV</c:v>
                </c:pt>
                <c:pt idx="90">
                  <c:v>Psychoanaliza i terapia psychodynamiczna</c:v>
                </c:pt>
                <c:pt idx="91">
                  <c:v>Psychogeriatria</c:v>
                </c:pt>
                <c:pt idx="92">
                  <c:v>Psychologia rodziny</c:v>
                </c:pt>
                <c:pt idx="93">
                  <c:v>Psychoterapia humanistyczno-egzystencjalna</c:v>
                </c:pt>
                <c:pt idx="94">
                  <c:v>Psychoterapia poznawczo-behawioralna</c:v>
                </c:pt>
                <c:pt idx="95">
                  <c:v>Psychoterapia systemowa</c:v>
                </c:pt>
                <c:pt idx="96">
                  <c:v>Elementy psychologii pracy i organizacji</c:v>
                </c:pt>
                <c:pt idx="97">
                  <c:v>Psychodietetyka</c:v>
                </c:pt>
                <c:pt idx="98">
                  <c:v>Psychologia sportu</c:v>
                </c:pt>
                <c:pt idx="99">
                  <c:v>Psychoonkologia</c:v>
                </c:pt>
                <c:pt idx="100">
                  <c:v>Psychoseksuologia</c:v>
                </c:pt>
                <c:pt idx="101">
                  <c:v>Zdrowie publiczne w praktyce psychologa</c:v>
                </c:pt>
                <c:pt idx="102">
                  <c:v>sumy dla 5 roku</c:v>
                </c:pt>
                <c:pt idx="103">
                  <c:v>RAZEM</c:v>
                </c:pt>
              </c:strCache>
            </c:strRef>
          </c:cat>
          <c:val>
            <c:numRef>
              <c:f>Matryca!$R$20:$R$123</c:f>
              <c:numCache>
                <c:formatCode>General</c:formatCode>
                <c:ptCount val="10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25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2</c:v>
                </c:pt>
                <c:pt idx="29">
                  <c:v>4</c:v>
                </c:pt>
                <c:pt idx="30">
                  <c:v>5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1</c:v>
                </c:pt>
                <c:pt idx="39">
                  <c:v>3</c:v>
                </c:pt>
                <c:pt idx="40">
                  <c:v>0</c:v>
                </c:pt>
                <c:pt idx="41">
                  <c:v>31</c:v>
                </c:pt>
                <c:pt idx="42">
                  <c:v>3</c:v>
                </c:pt>
                <c:pt idx="43">
                  <c:v>4</c:v>
                </c:pt>
                <c:pt idx="44">
                  <c:v>4</c:v>
                </c:pt>
                <c:pt idx="45">
                  <c:v>10</c:v>
                </c:pt>
                <c:pt idx="46">
                  <c:v>11</c:v>
                </c:pt>
                <c:pt idx="47">
                  <c:v>5</c:v>
                </c:pt>
                <c:pt idx="48">
                  <c:v>0</c:v>
                </c:pt>
                <c:pt idx="49">
                  <c:v>0</c:v>
                </c:pt>
                <c:pt idx="50">
                  <c:v>6</c:v>
                </c:pt>
                <c:pt idx="51">
                  <c:v>5</c:v>
                </c:pt>
                <c:pt idx="52">
                  <c:v>2</c:v>
                </c:pt>
                <c:pt idx="53">
                  <c:v>5</c:v>
                </c:pt>
                <c:pt idx="54">
                  <c:v>3</c:v>
                </c:pt>
                <c:pt idx="55">
                  <c:v>5</c:v>
                </c:pt>
                <c:pt idx="56">
                  <c:v>4</c:v>
                </c:pt>
                <c:pt idx="57">
                  <c:v>3</c:v>
                </c:pt>
                <c:pt idx="58">
                  <c:v>4</c:v>
                </c:pt>
                <c:pt idx="59">
                  <c:v>4</c:v>
                </c:pt>
                <c:pt idx="60">
                  <c:v>78</c:v>
                </c:pt>
                <c:pt idx="61">
                  <c:v>5</c:v>
                </c:pt>
                <c:pt idx="62">
                  <c:v>2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18</c:v>
                </c:pt>
                <c:pt idx="67">
                  <c:v>17</c:v>
                </c:pt>
                <c:pt idx="68">
                  <c:v>4</c:v>
                </c:pt>
                <c:pt idx="69">
                  <c:v>6</c:v>
                </c:pt>
                <c:pt idx="70">
                  <c:v>11</c:v>
                </c:pt>
                <c:pt idx="71">
                  <c:v>4</c:v>
                </c:pt>
                <c:pt idx="72">
                  <c:v>4</c:v>
                </c:pt>
                <c:pt idx="73">
                  <c:v>5</c:v>
                </c:pt>
                <c:pt idx="74">
                  <c:v>3</c:v>
                </c:pt>
                <c:pt idx="75">
                  <c:v>8</c:v>
                </c:pt>
                <c:pt idx="76">
                  <c:v>8</c:v>
                </c:pt>
                <c:pt idx="77">
                  <c:v>6</c:v>
                </c:pt>
                <c:pt idx="78">
                  <c:v>6</c:v>
                </c:pt>
                <c:pt idx="79">
                  <c:v>3</c:v>
                </c:pt>
                <c:pt idx="80">
                  <c:v>7</c:v>
                </c:pt>
                <c:pt idx="81">
                  <c:v>7</c:v>
                </c:pt>
                <c:pt idx="82">
                  <c:v>3</c:v>
                </c:pt>
                <c:pt idx="83">
                  <c:v>8</c:v>
                </c:pt>
                <c:pt idx="84">
                  <c:v>135</c:v>
                </c:pt>
                <c:pt idx="85">
                  <c:v>5</c:v>
                </c:pt>
                <c:pt idx="86">
                  <c:v>0</c:v>
                </c:pt>
                <c:pt idx="87">
                  <c:v>6</c:v>
                </c:pt>
                <c:pt idx="88">
                  <c:v>8</c:v>
                </c:pt>
                <c:pt idx="89">
                  <c:v>8</c:v>
                </c:pt>
                <c:pt idx="90">
                  <c:v>6</c:v>
                </c:pt>
                <c:pt idx="91">
                  <c:v>5</c:v>
                </c:pt>
                <c:pt idx="92">
                  <c:v>7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5</c:v>
                </c:pt>
                <c:pt idx="97">
                  <c:v>7</c:v>
                </c:pt>
                <c:pt idx="98">
                  <c:v>4</c:v>
                </c:pt>
                <c:pt idx="99">
                  <c:v>6</c:v>
                </c:pt>
                <c:pt idx="100">
                  <c:v>7</c:v>
                </c:pt>
                <c:pt idx="101">
                  <c:v>3</c:v>
                </c:pt>
                <c:pt idx="102">
                  <c:v>95</c:v>
                </c:pt>
                <c:pt idx="103">
                  <c:v>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0C-49E0-8292-EFDF1663753F}"/>
            </c:ext>
          </c:extLst>
        </c:ser>
        <c:ser>
          <c:idx val="2"/>
          <c:order val="2"/>
          <c:tx>
            <c:v>KOMPETENCJE SPOŁECZNE</c:v>
          </c:tx>
          <c:spPr>
            <a:solidFill>
              <a:srgbClr val="EAB2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Matryca!$I$20:$I$123</c:f>
              <c:strCache>
                <c:ptCount val="104"/>
                <c:pt idx="0">
                  <c:v>Biologiczne uwarunkowania procesów psychicznych</c:v>
                </c:pt>
                <c:pt idx="1">
                  <c:v>Podejście evidence based w psychologii</c:v>
                </c:pt>
                <c:pt idx="2">
                  <c:v>Filozofia z logiką</c:v>
                </c:pt>
                <c:pt idx="3">
                  <c:v>Psychogenetyka</c:v>
                </c:pt>
                <c:pt idx="4">
                  <c:v>Kompetencje akademickie</c:v>
                </c:pt>
                <c:pt idx="5">
                  <c:v>Lektorat z języka angielskiego I</c:v>
                </c:pt>
                <c:pt idx="6">
                  <c:v>Lektorat z języka angielskiego II</c:v>
                </c:pt>
                <c:pt idx="7">
                  <c:v>Neurobiologia i mechanizmy zachowania</c:v>
                </c:pt>
                <c:pt idx="8">
                  <c:v>Podstawy neurofizjologii dla psychologów</c:v>
                </c:pt>
                <c:pt idx="9">
                  <c:v>Pierwsza pomoc medyczna</c:v>
                </c:pt>
                <c:pt idx="10">
                  <c:v>Podstawy technologii informacyjnej </c:v>
                </c:pt>
                <c:pt idx="11">
                  <c:v>Przedmiot fakultatywny 1: Rola organizacji pozarządowych w systemie ochrony zdrowia / Sport, umysł i granice ludzkich możliwości </c:v>
                </c:pt>
                <c:pt idx="12">
                  <c:v>Przedmiot fakultatywny 2: Społeczne przyczyny kryzysów psychicznych / Podstawy neurobiologii eksperymentalnej </c:v>
                </c:pt>
                <c:pt idx="13">
                  <c:v>Psychologia ogólna</c:v>
                </c:pt>
                <c:pt idx="14">
                  <c:v>Psychologia społeczna</c:v>
                </c:pt>
                <c:pt idx="15">
                  <c:v>Trening umiejętności interpersonalnych I</c:v>
                </c:pt>
                <c:pt idx="16">
                  <c:v>Trening umiejętności interpersonalnych II</c:v>
                </c:pt>
                <c:pt idx="17">
                  <c:v>Wprowadzenie do neuroanatomii</c:v>
                </c:pt>
                <c:pt idx="18">
                  <c:v>Wprowadzenie do psychologii i historii myśli psychologicznej</c:v>
                </c:pt>
                <c:pt idx="19">
                  <c:v>Wprowadzenie do psychologii społecznej</c:v>
                </c:pt>
                <c:pt idx="20">
                  <c:v>Wychowanie fizyczne I</c:v>
                </c:pt>
                <c:pt idx="21">
                  <c:v>Wychowanie fizyczne II</c:v>
                </c:pt>
                <c:pt idx="22">
                  <c:v>sumy dla 1 roku</c:v>
                </c:pt>
                <c:pt idx="23">
                  <c:v>Etyka zawodu psychologa</c:v>
                </c:pt>
                <c:pt idx="24">
                  <c:v>Lektorat z języka angielskiego III</c:v>
                </c:pt>
                <c:pt idx="25">
                  <c:v>Lektorat z języka angielskiego IV</c:v>
                </c:pt>
                <c:pt idx="26">
                  <c:v>Metodologia badań psychologicznych I</c:v>
                </c:pt>
                <c:pt idx="27">
                  <c:v>Ochrona własności intelektualnej</c:v>
                </c:pt>
                <c:pt idx="28">
                  <c:v>Podstawy pomocy psychologicznej </c:v>
                </c:pt>
                <c:pt idx="29">
                  <c:v>Praktyki zawodowe w zakresie pomocy psychologicznej </c:v>
                </c:pt>
                <c:pt idx="30">
                  <c:v>Praktyki zawodowe w zakresie promocji i edukacji zdrowia</c:v>
                </c:pt>
                <c:pt idx="31">
                  <c:v>Przedmiot fakultatywny 3: Prowadzenie działalności / Kampanie społeczne</c:v>
                </c:pt>
                <c:pt idx="32">
                  <c:v>Przedmiot fakultatywny 4: Podstawy organizacji i zarządzania / Psychologia języka</c:v>
                </c:pt>
                <c:pt idx="33">
                  <c:v>Psychologia emocji i motywacji I</c:v>
                </c:pt>
                <c:pt idx="34">
                  <c:v>Psychologia emocji i motywacji II</c:v>
                </c:pt>
                <c:pt idx="35">
                  <c:v>Psychologia osobowości</c:v>
                </c:pt>
                <c:pt idx="36">
                  <c:v>Psychologia procesów poznawczych </c:v>
                </c:pt>
                <c:pt idx="37">
                  <c:v>Psychologia rozwoju człowieka</c:v>
                </c:pt>
                <c:pt idx="38">
                  <c:v>Psychologia różnic indywidualnych I</c:v>
                </c:pt>
                <c:pt idx="39">
                  <c:v>Psychologia różnic indywidualnych II</c:v>
                </c:pt>
                <c:pt idx="40">
                  <c:v>Socjologia</c:v>
                </c:pt>
                <c:pt idx="41">
                  <c:v>sumy dla 2 roku</c:v>
                </c:pt>
                <c:pt idx="42">
                  <c:v>Metodologia badań psychologicznych II</c:v>
                </c:pt>
                <c:pt idx="43">
                  <c:v>Neuropsychologia</c:v>
                </c:pt>
                <c:pt idx="44">
                  <c:v>Podstawy neurologii </c:v>
                </c:pt>
                <c:pt idx="45">
                  <c:v>Praktyki zawodowe w zakresie psychologicznej diagnozy i terapii chorób somatycznych</c:v>
                </c:pt>
                <c:pt idx="46">
                  <c:v>Praktyki zawodowe w zakresie klinicznej diagnozy psychologicznej dorosłych</c:v>
                </c:pt>
                <c:pt idx="47">
                  <c:v>Projekt badawczy grupowy- psychologia zdrowia / psychologia kliniczna</c:v>
                </c:pt>
                <c:pt idx="48">
                  <c:v>Przedmiot fakultatywny 5: Zaburzenia neurorozwojowe / Psychologia kryminalna</c:v>
                </c:pt>
                <c:pt idx="49">
                  <c:v>Przedmiot fakultatywny 6: Podstawy uczenia maszynowego i sieci neuronowych / Psychologia człowieka w świecie AI</c:v>
                </c:pt>
                <c:pt idx="50">
                  <c:v>Psychologia kliniczna dorosłych</c:v>
                </c:pt>
                <c:pt idx="51">
                  <c:v>Psychologia kliniczna dzieci i młodzieży</c:v>
                </c:pt>
                <c:pt idx="52">
                  <c:v>Psychologia środowiska</c:v>
                </c:pt>
                <c:pt idx="53">
                  <c:v>Psychologia zarządzania</c:v>
                </c:pt>
                <c:pt idx="54">
                  <c:v>Psychologia zdrowia</c:v>
                </c:pt>
                <c:pt idx="55">
                  <c:v>Psychometria</c:v>
                </c:pt>
                <c:pt idx="56">
                  <c:v>Psychopatologia</c:v>
                </c:pt>
                <c:pt idx="57">
                  <c:v>Statystyka I</c:v>
                </c:pt>
                <c:pt idx="58">
                  <c:v>Statystyka II</c:v>
                </c:pt>
                <c:pt idx="59">
                  <c:v>Wprowadzenie do psychologii klinicznej</c:v>
                </c:pt>
                <c:pt idx="60">
                  <c:v>sumy dla 3 roku</c:v>
                </c:pt>
                <c:pt idx="61">
                  <c:v>Psychiatria</c:v>
                </c:pt>
                <c:pt idx="62">
                  <c:v>Psychofarmakologia</c:v>
                </c:pt>
                <c:pt idx="63">
                  <c:v>Przedmiot fakultatywny 7: Trening komunikacji międzykulturowej  / Psychoseksuologia (PK) / Terapia perfekcjonizmu w podejściu poznawczo – behawioralnym (PZ)</c:v>
                </c:pt>
                <c:pt idx="64">
                  <c:v>Przedmiot fakultatywny 8:  Podstawy marketingu / Psychologia zwycięstwa</c:v>
                </c:pt>
                <c:pt idx="65">
                  <c:v>Przedmiot fakultatywny 9: Podstawy psychoterapii zaburzeń odżywiania / Podstawy terapii DBT</c:v>
                </c:pt>
                <c:pt idx="66">
                  <c:v>Praktyki zawodowe w zakresie klinicznej diagnozy psychologicznej dzieci i młodzieży</c:v>
                </c:pt>
                <c:pt idx="67">
                  <c:v>Praktyki zawodowe w zakresie neuropsychologii</c:v>
                </c:pt>
                <c:pt idx="68">
                  <c:v>Seminarium magisterskie I</c:v>
                </c:pt>
                <c:pt idx="69">
                  <c:v>Seminarium magisterskie II</c:v>
                </c:pt>
                <c:pt idx="70">
                  <c:v>Diagnoza neuropsychologiczna</c:v>
                </c:pt>
                <c:pt idx="71">
                  <c:v>Neuroobrazowanie w diagnozie psychologicznej</c:v>
                </c:pt>
                <c:pt idx="72">
                  <c:v>Podstawy psychologii sądowej</c:v>
                </c:pt>
                <c:pt idx="73">
                  <c:v>Podstawy psychoterapii</c:v>
                </c:pt>
                <c:pt idx="74">
                  <c:v>Psychologia uzależnień</c:v>
                </c:pt>
                <c:pt idx="75">
                  <c:v>Psychologiczna diagnoza kliniczna dorosłych</c:v>
                </c:pt>
                <c:pt idx="76">
                  <c:v>Psychologiczna diagnoza dzieci i młodzieży z elementami psychoterapii</c:v>
                </c:pt>
                <c:pt idx="77">
                  <c:v>Poradnictwo psychologiczne</c:v>
                </c:pt>
                <c:pt idx="78">
                  <c:v>Elementy psychologii edukacji</c:v>
                </c:pt>
                <c:pt idx="79">
                  <c:v>Psychologia kryzysu i stresu w praktyce pomocowej</c:v>
                </c:pt>
                <c:pt idx="80">
                  <c:v>Psychologia zaburzeń somatycznych</c:v>
                </c:pt>
                <c:pt idx="81">
                  <c:v>Projektowanie i prowadzenie szkoleń</c:v>
                </c:pt>
                <c:pt idx="82">
                  <c:v>Promocja zdrowia</c:v>
                </c:pt>
                <c:pt idx="83">
                  <c:v>Rehabilitacja psychologiczna</c:v>
                </c:pt>
                <c:pt idx="84">
                  <c:v>sumy dla 4 roku</c:v>
                </c:pt>
                <c:pt idx="85">
                  <c:v>Interwencja kryzysowa</c:v>
                </c:pt>
                <c:pt idx="86">
                  <c:v>Przedmiot fakultatywny 10: Zachowania suicydalne – diagnoza i terapia / PK: ADHD – diagnoza i terapia; 
PZ: Fizjoprofilaktyka</c:v>
                </c:pt>
                <c:pt idx="87">
                  <c:v>Seksuologia</c:v>
                </c:pt>
                <c:pt idx="88">
                  <c:v>Seminarium magisterskie III</c:v>
                </c:pt>
                <c:pt idx="89">
                  <c:v>Seminarium magisterskie IV</c:v>
                </c:pt>
                <c:pt idx="90">
                  <c:v>Psychoanaliza i terapia psychodynamiczna</c:v>
                </c:pt>
                <c:pt idx="91">
                  <c:v>Psychogeriatria</c:v>
                </c:pt>
                <c:pt idx="92">
                  <c:v>Psychologia rodziny</c:v>
                </c:pt>
                <c:pt idx="93">
                  <c:v>Psychoterapia humanistyczno-egzystencjalna</c:v>
                </c:pt>
                <c:pt idx="94">
                  <c:v>Psychoterapia poznawczo-behawioralna</c:v>
                </c:pt>
                <c:pt idx="95">
                  <c:v>Psychoterapia systemowa</c:v>
                </c:pt>
                <c:pt idx="96">
                  <c:v>Elementy psychologii pracy i organizacji</c:v>
                </c:pt>
                <c:pt idx="97">
                  <c:v>Psychodietetyka</c:v>
                </c:pt>
                <c:pt idx="98">
                  <c:v>Psychologia sportu</c:v>
                </c:pt>
                <c:pt idx="99">
                  <c:v>Psychoonkologia</c:v>
                </c:pt>
                <c:pt idx="100">
                  <c:v>Psychoseksuologia</c:v>
                </c:pt>
                <c:pt idx="101">
                  <c:v>Zdrowie publiczne w praktyce psychologa</c:v>
                </c:pt>
                <c:pt idx="102">
                  <c:v>sumy dla 5 roku</c:v>
                </c:pt>
                <c:pt idx="103">
                  <c:v>RAZEM</c:v>
                </c:pt>
              </c:strCache>
            </c:strRef>
          </c:cat>
          <c:val>
            <c:numRef>
              <c:f>Matryca!$S$20:$S$123</c:f>
              <c:numCache>
                <c:formatCode>General</c:formatCode>
                <c:ptCount val="10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22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20</c:v>
                </c:pt>
                <c:pt idx="42">
                  <c:v>1</c:v>
                </c:pt>
                <c:pt idx="43">
                  <c:v>2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2</c:v>
                </c:pt>
                <c:pt idx="48">
                  <c:v>0</c:v>
                </c:pt>
                <c:pt idx="49">
                  <c:v>0</c:v>
                </c:pt>
                <c:pt idx="50">
                  <c:v>4</c:v>
                </c:pt>
                <c:pt idx="51">
                  <c:v>4</c:v>
                </c:pt>
                <c:pt idx="52">
                  <c:v>1</c:v>
                </c:pt>
                <c:pt idx="53">
                  <c:v>1</c:v>
                </c:pt>
                <c:pt idx="54">
                  <c:v>4</c:v>
                </c:pt>
                <c:pt idx="55">
                  <c:v>1</c:v>
                </c:pt>
                <c:pt idx="56">
                  <c:v>4</c:v>
                </c:pt>
                <c:pt idx="57">
                  <c:v>1</c:v>
                </c:pt>
                <c:pt idx="58">
                  <c:v>1</c:v>
                </c:pt>
                <c:pt idx="59">
                  <c:v>4</c:v>
                </c:pt>
                <c:pt idx="60">
                  <c:v>33</c:v>
                </c:pt>
                <c:pt idx="61">
                  <c:v>1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5</c:v>
                </c:pt>
                <c:pt idx="67">
                  <c:v>5</c:v>
                </c:pt>
                <c:pt idx="68">
                  <c:v>2</c:v>
                </c:pt>
                <c:pt idx="69">
                  <c:v>2</c:v>
                </c:pt>
                <c:pt idx="70">
                  <c:v>1</c:v>
                </c:pt>
                <c:pt idx="71">
                  <c:v>1</c:v>
                </c:pt>
                <c:pt idx="72">
                  <c:v>2</c:v>
                </c:pt>
                <c:pt idx="73">
                  <c:v>3</c:v>
                </c:pt>
                <c:pt idx="74">
                  <c:v>1</c:v>
                </c:pt>
                <c:pt idx="75">
                  <c:v>2</c:v>
                </c:pt>
                <c:pt idx="76">
                  <c:v>2</c:v>
                </c:pt>
                <c:pt idx="77">
                  <c:v>3</c:v>
                </c:pt>
                <c:pt idx="78">
                  <c:v>0</c:v>
                </c:pt>
                <c:pt idx="79">
                  <c:v>4</c:v>
                </c:pt>
                <c:pt idx="80">
                  <c:v>1</c:v>
                </c:pt>
                <c:pt idx="81">
                  <c:v>3</c:v>
                </c:pt>
                <c:pt idx="82">
                  <c:v>2</c:v>
                </c:pt>
                <c:pt idx="83">
                  <c:v>1</c:v>
                </c:pt>
                <c:pt idx="84">
                  <c:v>42</c:v>
                </c:pt>
                <c:pt idx="85">
                  <c:v>2</c:v>
                </c:pt>
                <c:pt idx="86">
                  <c:v>0</c:v>
                </c:pt>
                <c:pt idx="87">
                  <c:v>3</c:v>
                </c:pt>
                <c:pt idx="88">
                  <c:v>2</c:v>
                </c:pt>
                <c:pt idx="89">
                  <c:v>2</c:v>
                </c:pt>
                <c:pt idx="90">
                  <c:v>1</c:v>
                </c:pt>
                <c:pt idx="91">
                  <c:v>3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3</c:v>
                </c:pt>
                <c:pt idx="98">
                  <c:v>1</c:v>
                </c:pt>
                <c:pt idx="99">
                  <c:v>4</c:v>
                </c:pt>
                <c:pt idx="100">
                  <c:v>2</c:v>
                </c:pt>
                <c:pt idx="101">
                  <c:v>4</c:v>
                </c:pt>
                <c:pt idx="102">
                  <c:v>32</c:v>
                </c:pt>
                <c:pt idx="103">
                  <c:v>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C-49E0-8292-EFDF1663753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181266528"/>
        <c:axId val="1181264864"/>
      </c:barChart>
      <c:catAx>
        <c:axId val="11812665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sm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181264864"/>
        <c:crosses val="autoZero"/>
        <c:auto val="1"/>
        <c:lblAlgn val="ctr"/>
        <c:lblOffset val="100"/>
        <c:noMultiLvlLbl val="0"/>
      </c:catAx>
      <c:valAx>
        <c:axId val="1181264864"/>
        <c:scaling>
          <c:orientation val="minMax"/>
        </c:scaling>
        <c:delete val="0"/>
        <c:axPos val="t"/>
        <c:numFmt formatCode="0%" sourceLinked="1"/>
        <c:majorTickMark val="none"/>
        <c:minorTickMark val="none"/>
        <c:tickLblPos val="nextTo"/>
        <c:spPr>
          <a:solidFill>
            <a:schemeClr val="bg1">
              <a:lumMod val="95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181266528"/>
        <c:crosses val="autoZero"/>
        <c:crossBetween val="between"/>
      </c:valAx>
      <c:spPr>
        <a:noFill/>
        <a:ln w="6350">
          <a:solidFill>
            <a:schemeClr val="bg1">
              <a:lumMod val="9500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1.7944952089903727E-2"/>
          <c:y val="1.2088956083465853E-3"/>
          <c:w val="0.40993035800819544"/>
          <c:h val="5.111861474979813E-3"/>
        </c:manualLayout>
      </c:layout>
      <c:overlay val="0"/>
      <c:spPr>
        <a:solidFill>
          <a:schemeClr val="bg1">
            <a:lumMod val="9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25400" cap="flat" cmpd="sng" algn="ctr">
      <a:solidFill>
        <a:schemeClr val="tx1"/>
      </a:solidFill>
      <a:round/>
    </a:ln>
    <a:effectLst>
      <a:softEdge rad="101600"/>
    </a:effectLst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pl-PL" sz="1500" b="1"/>
              <a:t>STOPIEŃ</a:t>
            </a:r>
            <a:r>
              <a:rPr lang="pl-PL" sz="1500" b="1" baseline="0"/>
              <a:t> WYSYCENIA EFEKTÓW W CYKLU KSZTAŁCENIA</a:t>
            </a:r>
            <a:endParaRPr lang="pl-PL" sz="15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Matryca_PZ!$T$18:$CC$19</c:f>
              <c:multiLvlStrCache>
                <c:ptCount val="50"/>
                <c:lvl>
                  <c:pt idx="0">
                    <c:v>K_W01</c:v>
                  </c:pt>
                  <c:pt idx="1">
                    <c:v>K_W02</c:v>
                  </c:pt>
                  <c:pt idx="2">
                    <c:v>K_W03</c:v>
                  </c:pt>
                  <c:pt idx="3">
                    <c:v>K_W04</c:v>
                  </c:pt>
                  <c:pt idx="4">
                    <c:v>K_W05</c:v>
                  </c:pt>
                  <c:pt idx="5">
                    <c:v>K_W06</c:v>
                  </c:pt>
                  <c:pt idx="6">
                    <c:v>K_W07</c:v>
                  </c:pt>
                  <c:pt idx="7">
                    <c:v>K_W08</c:v>
                  </c:pt>
                  <c:pt idx="8">
                    <c:v>K_W09</c:v>
                  </c:pt>
                  <c:pt idx="9">
                    <c:v>K_W10</c:v>
                  </c:pt>
                  <c:pt idx="10">
                    <c:v>K_W11</c:v>
                  </c:pt>
                  <c:pt idx="11">
                    <c:v>K_W12</c:v>
                  </c:pt>
                  <c:pt idx="12">
                    <c:v>K_U01</c:v>
                  </c:pt>
                  <c:pt idx="13">
                    <c:v>K_U02</c:v>
                  </c:pt>
                  <c:pt idx="14">
                    <c:v>K_U03</c:v>
                  </c:pt>
                  <c:pt idx="15">
                    <c:v>K_U04</c:v>
                  </c:pt>
                  <c:pt idx="16">
                    <c:v>K_U05</c:v>
                  </c:pt>
                  <c:pt idx="17">
                    <c:v>K_U06</c:v>
                  </c:pt>
                  <c:pt idx="18">
                    <c:v>K_U07</c:v>
                  </c:pt>
                  <c:pt idx="19">
                    <c:v>K_U08</c:v>
                  </c:pt>
                  <c:pt idx="20">
                    <c:v>K_U09</c:v>
                  </c:pt>
                  <c:pt idx="21">
                    <c:v>K_U10</c:v>
                  </c:pt>
                  <c:pt idx="22">
                    <c:v>K_U11</c:v>
                  </c:pt>
                  <c:pt idx="23">
                    <c:v>K_U12</c:v>
                  </c:pt>
                  <c:pt idx="24">
                    <c:v>K_U13</c:v>
                  </c:pt>
                  <c:pt idx="25">
                    <c:v>K_U14</c:v>
                  </c:pt>
                  <c:pt idx="26">
                    <c:v>K_U15</c:v>
                  </c:pt>
                  <c:pt idx="27">
                    <c:v>K_U16</c:v>
                  </c:pt>
                  <c:pt idx="28">
                    <c:v>K_U17</c:v>
                  </c:pt>
                  <c:pt idx="29">
                    <c:v>K_U18</c:v>
                  </c:pt>
                  <c:pt idx="30">
                    <c:v>K_U19</c:v>
                  </c:pt>
                  <c:pt idx="31">
                    <c:v>K_U20</c:v>
                  </c:pt>
                  <c:pt idx="32">
                    <c:v>K_U21</c:v>
                  </c:pt>
                  <c:pt idx="33">
                    <c:v>K_U22</c:v>
                  </c:pt>
                  <c:pt idx="34">
                    <c:v>K_U23</c:v>
                  </c:pt>
                  <c:pt idx="35">
                    <c:v>K_U24</c:v>
                  </c:pt>
                  <c:pt idx="36">
                    <c:v>K_U25</c:v>
                  </c:pt>
                  <c:pt idx="37">
                    <c:v>K_U26</c:v>
                  </c:pt>
                  <c:pt idx="38">
                    <c:v>K_U27</c:v>
                  </c:pt>
                  <c:pt idx="39">
                    <c:v>K_U28</c:v>
                  </c:pt>
                  <c:pt idx="40">
                    <c:v>K_K01</c:v>
                  </c:pt>
                  <c:pt idx="41">
                    <c:v>K_K02</c:v>
                  </c:pt>
                  <c:pt idx="42">
                    <c:v>K_K03</c:v>
                  </c:pt>
                  <c:pt idx="43">
                    <c:v>K_K04</c:v>
                  </c:pt>
                  <c:pt idx="44">
                    <c:v>K_K05</c:v>
                  </c:pt>
                  <c:pt idx="45">
                    <c:v>K_K06</c:v>
                  </c:pt>
                  <c:pt idx="46">
                    <c:v>K_K07</c:v>
                  </c:pt>
                  <c:pt idx="47">
                    <c:v>K_K08</c:v>
                  </c:pt>
                  <c:pt idx="48">
                    <c:v>K_K09</c:v>
                  </c:pt>
                </c:lvl>
                <c:lvl>
                  <c:pt idx="0">
                    <c:v>Wiedza</c:v>
                  </c:pt>
                  <c:pt idx="12">
                    <c:v>Umiejętności</c:v>
                  </c:pt>
                  <c:pt idx="40">
                    <c:v>Kompetencje społeczne</c:v>
                  </c:pt>
                  <c:pt idx="49">
                    <c:v>Proporcje poszczególnych kategorii efektów dla przedmiotu</c:v>
                  </c:pt>
                </c:lvl>
              </c:multiLvlStrCache>
            </c:multiLvlStrRef>
          </c:cat>
          <c:val>
            <c:numRef>
              <c:f>Matryca_PZ!$T$123:$BP$123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00-4EFB-9B9A-F58CB4584E1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64441167"/>
        <c:axId val="1764439503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>
                    <a:gsLst>
                      <a:gs pos="0">
                        <a:schemeClr val="accent1"/>
                      </a:gs>
                      <a:gs pos="100000">
                        <a:schemeClr val="accent1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Matryca_PZ!$T$18:$CC$19</c15:sqref>
                        </c15:formulaRef>
                      </c:ext>
                    </c:extLst>
                    <c:multiLvlStrCache>
                      <c:ptCount val="50"/>
                      <c:lvl>
                        <c:pt idx="0">
                          <c:v>K_W01</c:v>
                        </c:pt>
                        <c:pt idx="1">
                          <c:v>K_W02</c:v>
                        </c:pt>
                        <c:pt idx="2">
                          <c:v>K_W03</c:v>
                        </c:pt>
                        <c:pt idx="3">
                          <c:v>K_W04</c:v>
                        </c:pt>
                        <c:pt idx="4">
                          <c:v>K_W05</c:v>
                        </c:pt>
                        <c:pt idx="5">
                          <c:v>K_W06</c:v>
                        </c:pt>
                        <c:pt idx="6">
                          <c:v>K_W07</c:v>
                        </c:pt>
                        <c:pt idx="7">
                          <c:v>K_W08</c:v>
                        </c:pt>
                        <c:pt idx="8">
                          <c:v>K_W09</c:v>
                        </c:pt>
                        <c:pt idx="9">
                          <c:v>K_W10</c:v>
                        </c:pt>
                        <c:pt idx="10">
                          <c:v>K_W11</c:v>
                        </c:pt>
                        <c:pt idx="11">
                          <c:v>K_W12</c:v>
                        </c:pt>
                        <c:pt idx="12">
                          <c:v>K_U01</c:v>
                        </c:pt>
                        <c:pt idx="13">
                          <c:v>K_U02</c:v>
                        </c:pt>
                        <c:pt idx="14">
                          <c:v>K_U03</c:v>
                        </c:pt>
                        <c:pt idx="15">
                          <c:v>K_U04</c:v>
                        </c:pt>
                        <c:pt idx="16">
                          <c:v>K_U05</c:v>
                        </c:pt>
                        <c:pt idx="17">
                          <c:v>K_U06</c:v>
                        </c:pt>
                        <c:pt idx="18">
                          <c:v>K_U07</c:v>
                        </c:pt>
                        <c:pt idx="19">
                          <c:v>K_U08</c:v>
                        </c:pt>
                        <c:pt idx="20">
                          <c:v>K_U09</c:v>
                        </c:pt>
                        <c:pt idx="21">
                          <c:v>K_U10</c:v>
                        </c:pt>
                        <c:pt idx="22">
                          <c:v>K_U11</c:v>
                        </c:pt>
                        <c:pt idx="23">
                          <c:v>K_U12</c:v>
                        </c:pt>
                        <c:pt idx="24">
                          <c:v>K_U13</c:v>
                        </c:pt>
                        <c:pt idx="25">
                          <c:v>K_U14</c:v>
                        </c:pt>
                        <c:pt idx="26">
                          <c:v>K_U15</c:v>
                        </c:pt>
                        <c:pt idx="27">
                          <c:v>K_U16</c:v>
                        </c:pt>
                        <c:pt idx="28">
                          <c:v>K_U17</c:v>
                        </c:pt>
                        <c:pt idx="29">
                          <c:v>K_U18</c:v>
                        </c:pt>
                        <c:pt idx="30">
                          <c:v>K_U19</c:v>
                        </c:pt>
                        <c:pt idx="31">
                          <c:v>K_U20</c:v>
                        </c:pt>
                        <c:pt idx="32">
                          <c:v>K_U21</c:v>
                        </c:pt>
                        <c:pt idx="33">
                          <c:v>K_U22</c:v>
                        </c:pt>
                        <c:pt idx="34">
                          <c:v>K_U23</c:v>
                        </c:pt>
                        <c:pt idx="35">
                          <c:v>K_U24</c:v>
                        </c:pt>
                        <c:pt idx="36">
                          <c:v>K_U25</c:v>
                        </c:pt>
                        <c:pt idx="37">
                          <c:v>K_U26</c:v>
                        </c:pt>
                        <c:pt idx="38">
                          <c:v>K_U27</c:v>
                        </c:pt>
                        <c:pt idx="39">
                          <c:v>K_U28</c:v>
                        </c:pt>
                        <c:pt idx="40">
                          <c:v>K_K01</c:v>
                        </c:pt>
                        <c:pt idx="41">
                          <c:v>K_K02</c:v>
                        </c:pt>
                        <c:pt idx="42">
                          <c:v>K_K03</c:v>
                        </c:pt>
                        <c:pt idx="43">
                          <c:v>K_K04</c:v>
                        </c:pt>
                        <c:pt idx="44">
                          <c:v>K_K05</c:v>
                        </c:pt>
                        <c:pt idx="45">
                          <c:v>K_K06</c:v>
                        </c:pt>
                        <c:pt idx="46">
                          <c:v>K_K07</c:v>
                        </c:pt>
                        <c:pt idx="47">
                          <c:v>K_K08</c:v>
                        </c:pt>
                        <c:pt idx="48">
                          <c:v>K_K09</c:v>
                        </c:pt>
                      </c:lvl>
                      <c:lvl>
                        <c:pt idx="0">
                          <c:v>Wiedza</c:v>
                        </c:pt>
                        <c:pt idx="12">
                          <c:v>Umiejętności</c:v>
                        </c:pt>
                        <c:pt idx="40">
                          <c:v>Kompetencje społeczne</c:v>
                        </c:pt>
                        <c:pt idx="49">
                          <c:v>Proporcje poszczególnych kategorii efektów dla przedmiotu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Matryca_PZ!$T$19:$BP$19</c15:sqref>
                        </c15:formulaRef>
                      </c:ext>
                    </c:extLst>
                    <c:numCache>
                      <c:formatCode>General</c:formatCode>
                      <c:ptCount val="4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200-4EFB-9B9A-F58CB4584E1F}"/>
                  </c:ext>
                </c:extLst>
              </c15:ser>
            </c15:filteredBarSeries>
          </c:ext>
        </c:extLst>
      </c:barChart>
      <c:catAx>
        <c:axId val="1764441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64439503"/>
        <c:crosses val="autoZero"/>
        <c:auto val="0"/>
        <c:lblAlgn val="ctr"/>
        <c:lblOffset val="100"/>
        <c:noMultiLvlLbl val="0"/>
      </c:catAx>
      <c:valAx>
        <c:axId val="176443950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6444116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433240929192142E-2"/>
          <c:y val="6.074107131463456E-3"/>
          <c:w val="0.96713351814161574"/>
          <c:h val="0.99095211920282589"/>
        </c:manualLayout>
      </c:layout>
      <c:barChart>
        <c:barDir val="bar"/>
        <c:grouping val="percentStacked"/>
        <c:varyColors val="0"/>
        <c:ser>
          <c:idx val="0"/>
          <c:order val="0"/>
          <c:tx>
            <c:v>WIEDZA</c:v>
          </c:tx>
          <c:spPr>
            <a:solidFill>
              <a:srgbClr val="00B05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Matryca_PZ!$I$20:$I$123</c:f>
              <c:strCache>
                <c:ptCount val="104"/>
                <c:pt idx="0">
                  <c:v>Biologiczne uwarunkowania procesów psychicznych</c:v>
                </c:pt>
                <c:pt idx="1">
                  <c:v>Podejście evidence based w psychologii</c:v>
                </c:pt>
                <c:pt idx="2">
                  <c:v>Filozofia z logiką</c:v>
                </c:pt>
                <c:pt idx="3">
                  <c:v>Psychogenetyka</c:v>
                </c:pt>
                <c:pt idx="4">
                  <c:v>Kompetencje akademickie</c:v>
                </c:pt>
                <c:pt idx="5">
                  <c:v>Lektorat z języka angielskiego I</c:v>
                </c:pt>
                <c:pt idx="6">
                  <c:v>Lektorat z języka angielskiego II</c:v>
                </c:pt>
                <c:pt idx="7">
                  <c:v>Neurobiologia i mechanizmy zachowania</c:v>
                </c:pt>
                <c:pt idx="8">
                  <c:v>Podstawy neurofizjologii dla psychologów</c:v>
                </c:pt>
                <c:pt idx="9">
                  <c:v>Pierwsza pomoc medyczna</c:v>
                </c:pt>
                <c:pt idx="10">
                  <c:v>Podstawy technologii informacyjnej </c:v>
                </c:pt>
                <c:pt idx="11">
                  <c:v>Przedmiot fakultatywny 1: Rola organizacji pozarządowych w systemie ochrony zdrowia / Sport, umysł i granice ludzkich możliwości </c:v>
                </c:pt>
                <c:pt idx="12">
                  <c:v>Przedmiot fakultatywny 2: Społeczne przyczyny kryzysów psychicznych / Podstawy neurobiologii eksperymentalnej </c:v>
                </c:pt>
                <c:pt idx="13">
                  <c:v>#ADR!</c:v>
                </c:pt>
                <c:pt idx="14">
                  <c:v>Psychologia społeczna</c:v>
                </c:pt>
                <c:pt idx="15">
                  <c:v>#ADR!</c:v>
                </c:pt>
                <c:pt idx="16">
                  <c:v>Trening umiejętności interpersonalnych I</c:v>
                </c:pt>
                <c:pt idx="17">
                  <c:v>Wprowadzenie do neuroanatomii</c:v>
                </c:pt>
                <c:pt idx="18">
                  <c:v>Wprowadzenie do psychologii i historii myśli psychologicznej</c:v>
                </c:pt>
                <c:pt idx="19">
                  <c:v>Wprowadzenie do psychologii społecznej</c:v>
                </c:pt>
                <c:pt idx="20">
                  <c:v>Wychowanie fizyczne I</c:v>
                </c:pt>
                <c:pt idx="21">
                  <c:v>Wychowanie fizyczne II</c:v>
                </c:pt>
                <c:pt idx="22">
                  <c:v>sumy dla 1 roku</c:v>
                </c:pt>
                <c:pt idx="23">
                  <c:v>Etyka zawodu psychologa</c:v>
                </c:pt>
                <c:pt idx="24">
                  <c:v>Lektorat z języka angielskiego III</c:v>
                </c:pt>
                <c:pt idx="25">
                  <c:v>Lektorat z języka angielskiego IV</c:v>
                </c:pt>
                <c:pt idx="26">
                  <c:v>Metodologia badań psychologicznych I</c:v>
                </c:pt>
                <c:pt idx="27">
                  <c:v>Ochrona własności intelektualnej</c:v>
                </c:pt>
                <c:pt idx="28">
                  <c:v>Podstawy pomocy psychologicznej </c:v>
                </c:pt>
                <c:pt idx="29">
                  <c:v>Praktyki zawodowe w zakresie pomocy psychologicznej </c:v>
                </c:pt>
                <c:pt idx="30">
                  <c:v>Praktyki zawodowe w zakresie promocji i edukacji zdrowia</c:v>
                </c:pt>
                <c:pt idx="31">
                  <c:v>Przedmiot fakultatywny 4: Podstawy organizacji i zarządzania / Psychologia języka</c:v>
                </c:pt>
                <c:pt idx="32">
                  <c:v>#ADR!</c:v>
                </c:pt>
                <c:pt idx="33">
                  <c:v>Psychologia emocji i motywacji I</c:v>
                </c:pt>
                <c:pt idx="34">
                  <c:v>Psychologia emocji i motywacji II</c:v>
                </c:pt>
                <c:pt idx="35">
                  <c:v>Psychologia osobowości</c:v>
                </c:pt>
                <c:pt idx="36">
                  <c:v>Psychologia procesów poznawczych </c:v>
                </c:pt>
                <c:pt idx="37">
                  <c:v>Psychologia rozwoju człowieka</c:v>
                </c:pt>
                <c:pt idx="38">
                  <c:v>Psychologia różnic indywidualnych I</c:v>
                </c:pt>
                <c:pt idx="39">
                  <c:v>Psychologia różnic indywidualnych II</c:v>
                </c:pt>
                <c:pt idx="40">
                  <c:v>Socjologia</c:v>
                </c:pt>
                <c:pt idx="41">
                  <c:v>sumy dla 2 roku</c:v>
                </c:pt>
                <c:pt idx="42">
                  <c:v>Metodologia badań psychologicznych II</c:v>
                </c:pt>
                <c:pt idx="43">
                  <c:v>Neuropsychologia</c:v>
                </c:pt>
                <c:pt idx="44">
                  <c:v>Podstawy neurologii </c:v>
                </c:pt>
                <c:pt idx="45">
                  <c:v>Praktyki zawodowe w zakresie psychologicznej diagnozy i terapii chorób somatycznych</c:v>
                </c:pt>
                <c:pt idx="46">
                  <c:v>Praktyki zawodowe w zakresie klinicznej diagnozy psychologicznej dorosłych</c:v>
                </c:pt>
                <c:pt idx="47">
                  <c:v>Projekt badawczy grupowy- psychologia zdrowia / psychologia kliniczna</c:v>
                </c:pt>
                <c:pt idx="48">
                  <c:v>Przedmiot fakultatywny 5: Zaburzenia neurorozwojowe / Psychologia kryminalna</c:v>
                </c:pt>
                <c:pt idx="49">
                  <c:v>Przedmiot fakultatywny 6: Podstawy uczenia maszynowego i sieci neuronowych / Psychologia człowieka w świecie AI</c:v>
                </c:pt>
                <c:pt idx="50">
                  <c:v>Psychologia kliniczna dorosłych</c:v>
                </c:pt>
                <c:pt idx="51">
                  <c:v>Psychologia kliniczna dzieci i młodzieży</c:v>
                </c:pt>
                <c:pt idx="52">
                  <c:v>Psychologia środowiska</c:v>
                </c:pt>
                <c:pt idx="53">
                  <c:v>Psychologia zarządzania</c:v>
                </c:pt>
                <c:pt idx="54">
                  <c:v>Psychologia zdrowia</c:v>
                </c:pt>
                <c:pt idx="55">
                  <c:v>Psychometria</c:v>
                </c:pt>
                <c:pt idx="56">
                  <c:v>Psychopatologia</c:v>
                </c:pt>
                <c:pt idx="57">
                  <c:v>Statystyka I</c:v>
                </c:pt>
                <c:pt idx="58">
                  <c:v>Statystyka II</c:v>
                </c:pt>
                <c:pt idx="59">
                  <c:v>Wprowadzenie do psychologii klinicznej</c:v>
                </c:pt>
                <c:pt idx="60">
                  <c:v>sumy dla 3 roku</c:v>
                </c:pt>
                <c:pt idx="61">
                  <c:v>Psychiatria</c:v>
                </c:pt>
                <c:pt idx="62">
                  <c:v>Psychofarmakologia</c:v>
                </c:pt>
                <c:pt idx="63">
                  <c:v>#ADR!</c:v>
                </c:pt>
                <c:pt idx="64">
                  <c:v>#ADR!</c:v>
                </c:pt>
                <c:pt idx="65">
                  <c:v>#ADR!</c:v>
                </c:pt>
                <c:pt idx="66">
                  <c:v>Praktyki zawodowe w zakresie klinicznej diagnozy psychologicznej dzieci i młodzieży</c:v>
                </c:pt>
                <c:pt idx="67">
                  <c:v>Praktyki zawodowe w zakresie neuropsychologii</c:v>
                </c:pt>
                <c:pt idx="68">
                  <c:v>#ADR!</c:v>
                </c:pt>
                <c:pt idx="69">
                  <c:v>#ADR!</c:v>
                </c:pt>
                <c:pt idx="70">
                  <c:v>#ADR!</c:v>
                </c:pt>
                <c:pt idx="71">
                  <c:v>#ADR!</c:v>
                </c:pt>
                <c:pt idx="72">
                  <c:v>#ADR!</c:v>
                </c:pt>
                <c:pt idx="73">
                  <c:v>#ADR!</c:v>
                </c:pt>
                <c:pt idx="74">
                  <c:v>#ADR!</c:v>
                </c:pt>
                <c:pt idx="75">
                  <c:v>#ADR!</c:v>
                </c:pt>
                <c:pt idx="76">
                  <c:v>#ADR!</c:v>
                </c:pt>
                <c:pt idx="77">
                  <c:v>Psychologia uzależnień</c:v>
                </c:pt>
                <c:pt idx="78">
                  <c:v>#ADR!</c:v>
                </c:pt>
                <c:pt idx="79">
                  <c:v>Psychologiczna diagnoza kliniczna dorosłych</c:v>
                </c:pt>
                <c:pt idx="80">
                  <c:v>Psychologiczna diagnoza dzieci i młodzieży z elementami psychoterapii</c:v>
                </c:pt>
                <c:pt idx="81">
                  <c:v>#ADR!</c:v>
                </c:pt>
                <c:pt idx="82">
                  <c:v>Promocja zdrowia</c:v>
                </c:pt>
                <c:pt idx="83">
                  <c:v>Rehabilitacja psychologiczna</c:v>
                </c:pt>
                <c:pt idx="84">
                  <c:v>sumy dla 4 roku</c:v>
                </c:pt>
                <c:pt idx="85">
                  <c:v>Interwencja kryzysowa</c:v>
                </c:pt>
                <c:pt idx="86">
                  <c:v>Przedmiot fakultatywny 10: Zachowania suicydalne – diagnoza i terapia / PK: ADHD – diagnoza i terapia; 
PZ: Fizjoprofilaktyka</c:v>
                </c:pt>
                <c:pt idx="87">
                  <c:v>#ADR!</c:v>
                </c:pt>
                <c:pt idx="88">
                  <c:v>#ADR!</c:v>
                </c:pt>
                <c:pt idx="89">
                  <c:v>#ADR!</c:v>
                </c:pt>
                <c:pt idx="90">
                  <c:v>#ADR!</c:v>
                </c:pt>
                <c:pt idx="91">
                  <c:v>#ADR!</c:v>
                </c:pt>
                <c:pt idx="92">
                  <c:v>#ADR!</c:v>
                </c:pt>
                <c:pt idx="93">
                  <c:v>#ADR!</c:v>
                </c:pt>
                <c:pt idx="94">
                  <c:v>#ADR!</c:v>
                </c:pt>
                <c:pt idx="95">
                  <c:v>#ADR!</c:v>
                </c:pt>
                <c:pt idx="96">
                  <c:v>#ADR!</c:v>
                </c:pt>
                <c:pt idx="97">
                  <c:v>#ADR!</c:v>
                </c:pt>
                <c:pt idx="98">
                  <c:v>Seksuologia</c:v>
                </c:pt>
                <c:pt idx="99">
                  <c:v>Seminarium magisterskie III</c:v>
                </c:pt>
                <c:pt idx="100">
                  <c:v>Seminarium magisterskie IV</c:v>
                </c:pt>
                <c:pt idx="101">
                  <c:v>Zdrowie publiczne w praktyce psychologa</c:v>
                </c:pt>
                <c:pt idx="102">
                  <c:v>sumy dla 5 roku</c:v>
                </c:pt>
                <c:pt idx="103">
                  <c:v>RAZEM</c:v>
                </c:pt>
              </c:strCache>
            </c:strRef>
          </c:cat>
          <c:val>
            <c:numRef>
              <c:f>Matryca_PZ!$Q$20:$Q$123</c:f>
              <c:numCache>
                <c:formatCode>General</c:formatCode>
                <c:ptCount val="10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B7-4E9F-AAA2-873D1A3FA505}"/>
            </c:ext>
          </c:extLst>
        </c:ser>
        <c:ser>
          <c:idx val="1"/>
          <c:order val="1"/>
          <c:tx>
            <c:v>UMIEJĘTNOŚCI</c:v>
          </c:tx>
          <c:spPr>
            <a:solidFill>
              <a:srgbClr val="0070C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Matryca_PZ!$I$20:$I$123</c:f>
              <c:strCache>
                <c:ptCount val="104"/>
                <c:pt idx="0">
                  <c:v>Biologiczne uwarunkowania procesów psychicznych</c:v>
                </c:pt>
                <c:pt idx="1">
                  <c:v>Podejście evidence based w psychologii</c:v>
                </c:pt>
                <c:pt idx="2">
                  <c:v>Filozofia z logiką</c:v>
                </c:pt>
                <c:pt idx="3">
                  <c:v>Psychogenetyka</c:v>
                </c:pt>
                <c:pt idx="4">
                  <c:v>Kompetencje akademickie</c:v>
                </c:pt>
                <c:pt idx="5">
                  <c:v>Lektorat z języka angielskiego I</c:v>
                </c:pt>
                <c:pt idx="6">
                  <c:v>Lektorat z języka angielskiego II</c:v>
                </c:pt>
                <c:pt idx="7">
                  <c:v>Neurobiologia i mechanizmy zachowania</c:v>
                </c:pt>
                <c:pt idx="8">
                  <c:v>Podstawy neurofizjologii dla psychologów</c:v>
                </c:pt>
                <c:pt idx="9">
                  <c:v>Pierwsza pomoc medyczna</c:v>
                </c:pt>
                <c:pt idx="10">
                  <c:v>Podstawy technologii informacyjnej </c:v>
                </c:pt>
                <c:pt idx="11">
                  <c:v>Przedmiot fakultatywny 1: Rola organizacji pozarządowych w systemie ochrony zdrowia / Sport, umysł i granice ludzkich możliwości </c:v>
                </c:pt>
                <c:pt idx="12">
                  <c:v>Przedmiot fakultatywny 2: Społeczne przyczyny kryzysów psychicznych / Podstawy neurobiologii eksperymentalnej </c:v>
                </c:pt>
                <c:pt idx="13">
                  <c:v>#ADR!</c:v>
                </c:pt>
                <c:pt idx="14">
                  <c:v>Psychologia społeczna</c:v>
                </c:pt>
                <c:pt idx="15">
                  <c:v>#ADR!</c:v>
                </c:pt>
                <c:pt idx="16">
                  <c:v>Trening umiejętności interpersonalnych I</c:v>
                </c:pt>
                <c:pt idx="17">
                  <c:v>Wprowadzenie do neuroanatomii</c:v>
                </c:pt>
                <c:pt idx="18">
                  <c:v>Wprowadzenie do psychologii i historii myśli psychologicznej</c:v>
                </c:pt>
                <c:pt idx="19">
                  <c:v>Wprowadzenie do psychologii społecznej</c:v>
                </c:pt>
                <c:pt idx="20">
                  <c:v>Wychowanie fizyczne I</c:v>
                </c:pt>
                <c:pt idx="21">
                  <c:v>Wychowanie fizyczne II</c:v>
                </c:pt>
                <c:pt idx="22">
                  <c:v>sumy dla 1 roku</c:v>
                </c:pt>
                <c:pt idx="23">
                  <c:v>Etyka zawodu psychologa</c:v>
                </c:pt>
                <c:pt idx="24">
                  <c:v>Lektorat z języka angielskiego III</c:v>
                </c:pt>
                <c:pt idx="25">
                  <c:v>Lektorat z języka angielskiego IV</c:v>
                </c:pt>
                <c:pt idx="26">
                  <c:v>Metodologia badań psychologicznych I</c:v>
                </c:pt>
                <c:pt idx="27">
                  <c:v>Ochrona własności intelektualnej</c:v>
                </c:pt>
                <c:pt idx="28">
                  <c:v>Podstawy pomocy psychologicznej </c:v>
                </c:pt>
                <c:pt idx="29">
                  <c:v>Praktyki zawodowe w zakresie pomocy psychologicznej </c:v>
                </c:pt>
                <c:pt idx="30">
                  <c:v>Praktyki zawodowe w zakresie promocji i edukacji zdrowia</c:v>
                </c:pt>
                <c:pt idx="31">
                  <c:v>Przedmiot fakultatywny 4: Podstawy organizacji i zarządzania / Psychologia języka</c:v>
                </c:pt>
                <c:pt idx="32">
                  <c:v>#ADR!</c:v>
                </c:pt>
                <c:pt idx="33">
                  <c:v>Psychologia emocji i motywacji I</c:v>
                </c:pt>
                <c:pt idx="34">
                  <c:v>Psychologia emocji i motywacji II</c:v>
                </c:pt>
                <c:pt idx="35">
                  <c:v>Psychologia osobowości</c:v>
                </c:pt>
                <c:pt idx="36">
                  <c:v>Psychologia procesów poznawczych </c:v>
                </c:pt>
                <c:pt idx="37">
                  <c:v>Psychologia rozwoju człowieka</c:v>
                </c:pt>
                <c:pt idx="38">
                  <c:v>Psychologia różnic indywidualnych I</c:v>
                </c:pt>
                <c:pt idx="39">
                  <c:v>Psychologia różnic indywidualnych II</c:v>
                </c:pt>
                <c:pt idx="40">
                  <c:v>Socjologia</c:v>
                </c:pt>
                <c:pt idx="41">
                  <c:v>sumy dla 2 roku</c:v>
                </c:pt>
                <c:pt idx="42">
                  <c:v>Metodologia badań psychologicznych II</c:v>
                </c:pt>
                <c:pt idx="43">
                  <c:v>Neuropsychologia</c:v>
                </c:pt>
                <c:pt idx="44">
                  <c:v>Podstawy neurologii </c:v>
                </c:pt>
                <c:pt idx="45">
                  <c:v>Praktyki zawodowe w zakresie psychologicznej diagnozy i terapii chorób somatycznych</c:v>
                </c:pt>
                <c:pt idx="46">
                  <c:v>Praktyki zawodowe w zakresie klinicznej diagnozy psychologicznej dorosłych</c:v>
                </c:pt>
                <c:pt idx="47">
                  <c:v>Projekt badawczy grupowy- psychologia zdrowia / psychologia kliniczna</c:v>
                </c:pt>
                <c:pt idx="48">
                  <c:v>Przedmiot fakultatywny 5: Zaburzenia neurorozwojowe / Psychologia kryminalna</c:v>
                </c:pt>
                <c:pt idx="49">
                  <c:v>Przedmiot fakultatywny 6: Podstawy uczenia maszynowego i sieci neuronowych / Psychologia człowieka w świecie AI</c:v>
                </c:pt>
                <c:pt idx="50">
                  <c:v>Psychologia kliniczna dorosłych</c:v>
                </c:pt>
                <c:pt idx="51">
                  <c:v>Psychologia kliniczna dzieci i młodzieży</c:v>
                </c:pt>
                <c:pt idx="52">
                  <c:v>Psychologia środowiska</c:v>
                </c:pt>
                <c:pt idx="53">
                  <c:v>Psychologia zarządzania</c:v>
                </c:pt>
                <c:pt idx="54">
                  <c:v>Psychologia zdrowia</c:v>
                </c:pt>
                <c:pt idx="55">
                  <c:v>Psychometria</c:v>
                </c:pt>
                <c:pt idx="56">
                  <c:v>Psychopatologia</c:v>
                </c:pt>
                <c:pt idx="57">
                  <c:v>Statystyka I</c:v>
                </c:pt>
                <c:pt idx="58">
                  <c:v>Statystyka II</c:v>
                </c:pt>
                <c:pt idx="59">
                  <c:v>Wprowadzenie do psychologii klinicznej</c:v>
                </c:pt>
                <c:pt idx="60">
                  <c:v>sumy dla 3 roku</c:v>
                </c:pt>
                <c:pt idx="61">
                  <c:v>Psychiatria</c:v>
                </c:pt>
                <c:pt idx="62">
                  <c:v>Psychofarmakologia</c:v>
                </c:pt>
                <c:pt idx="63">
                  <c:v>#ADR!</c:v>
                </c:pt>
                <c:pt idx="64">
                  <c:v>#ADR!</c:v>
                </c:pt>
                <c:pt idx="65">
                  <c:v>#ADR!</c:v>
                </c:pt>
                <c:pt idx="66">
                  <c:v>Praktyki zawodowe w zakresie klinicznej diagnozy psychologicznej dzieci i młodzieży</c:v>
                </c:pt>
                <c:pt idx="67">
                  <c:v>Praktyki zawodowe w zakresie neuropsychologii</c:v>
                </c:pt>
                <c:pt idx="68">
                  <c:v>#ADR!</c:v>
                </c:pt>
                <c:pt idx="69">
                  <c:v>#ADR!</c:v>
                </c:pt>
                <c:pt idx="70">
                  <c:v>#ADR!</c:v>
                </c:pt>
                <c:pt idx="71">
                  <c:v>#ADR!</c:v>
                </c:pt>
                <c:pt idx="72">
                  <c:v>#ADR!</c:v>
                </c:pt>
                <c:pt idx="73">
                  <c:v>#ADR!</c:v>
                </c:pt>
                <c:pt idx="74">
                  <c:v>#ADR!</c:v>
                </c:pt>
                <c:pt idx="75">
                  <c:v>#ADR!</c:v>
                </c:pt>
                <c:pt idx="76">
                  <c:v>#ADR!</c:v>
                </c:pt>
                <c:pt idx="77">
                  <c:v>Psychologia uzależnień</c:v>
                </c:pt>
                <c:pt idx="78">
                  <c:v>#ADR!</c:v>
                </c:pt>
                <c:pt idx="79">
                  <c:v>Psychologiczna diagnoza kliniczna dorosłych</c:v>
                </c:pt>
                <c:pt idx="80">
                  <c:v>Psychologiczna diagnoza dzieci i młodzieży z elementami psychoterapii</c:v>
                </c:pt>
                <c:pt idx="81">
                  <c:v>#ADR!</c:v>
                </c:pt>
                <c:pt idx="82">
                  <c:v>Promocja zdrowia</c:v>
                </c:pt>
                <c:pt idx="83">
                  <c:v>Rehabilitacja psychologiczna</c:v>
                </c:pt>
                <c:pt idx="84">
                  <c:v>sumy dla 4 roku</c:v>
                </c:pt>
                <c:pt idx="85">
                  <c:v>Interwencja kryzysowa</c:v>
                </c:pt>
                <c:pt idx="86">
                  <c:v>Przedmiot fakultatywny 10: Zachowania suicydalne – diagnoza i terapia / PK: ADHD – diagnoza i terapia; 
PZ: Fizjoprofilaktyka</c:v>
                </c:pt>
                <c:pt idx="87">
                  <c:v>#ADR!</c:v>
                </c:pt>
                <c:pt idx="88">
                  <c:v>#ADR!</c:v>
                </c:pt>
                <c:pt idx="89">
                  <c:v>#ADR!</c:v>
                </c:pt>
                <c:pt idx="90">
                  <c:v>#ADR!</c:v>
                </c:pt>
                <c:pt idx="91">
                  <c:v>#ADR!</c:v>
                </c:pt>
                <c:pt idx="92">
                  <c:v>#ADR!</c:v>
                </c:pt>
                <c:pt idx="93">
                  <c:v>#ADR!</c:v>
                </c:pt>
                <c:pt idx="94">
                  <c:v>#ADR!</c:v>
                </c:pt>
                <c:pt idx="95">
                  <c:v>#ADR!</c:v>
                </c:pt>
                <c:pt idx="96">
                  <c:v>#ADR!</c:v>
                </c:pt>
                <c:pt idx="97">
                  <c:v>#ADR!</c:v>
                </c:pt>
                <c:pt idx="98">
                  <c:v>Seksuologia</c:v>
                </c:pt>
                <c:pt idx="99">
                  <c:v>Seminarium magisterskie III</c:v>
                </c:pt>
                <c:pt idx="100">
                  <c:v>Seminarium magisterskie IV</c:v>
                </c:pt>
                <c:pt idx="101">
                  <c:v>Zdrowie publiczne w praktyce psychologa</c:v>
                </c:pt>
                <c:pt idx="102">
                  <c:v>sumy dla 5 roku</c:v>
                </c:pt>
                <c:pt idx="103">
                  <c:v>RAZEM</c:v>
                </c:pt>
              </c:strCache>
            </c:strRef>
          </c:cat>
          <c:val>
            <c:numRef>
              <c:f>Matryca_PZ!$R$20:$R$123</c:f>
              <c:numCache>
                <c:formatCode>General</c:formatCode>
                <c:ptCount val="10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B7-4E9F-AAA2-873D1A3FA505}"/>
            </c:ext>
          </c:extLst>
        </c:ser>
        <c:ser>
          <c:idx val="2"/>
          <c:order val="2"/>
          <c:tx>
            <c:v>KOMPETENCJE SPOŁECZNE</c:v>
          </c:tx>
          <c:spPr>
            <a:solidFill>
              <a:srgbClr val="EAB2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Matryca_PZ!$I$20:$I$123</c:f>
              <c:strCache>
                <c:ptCount val="104"/>
                <c:pt idx="0">
                  <c:v>Biologiczne uwarunkowania procesów psychicznych</c:v>
                </c:pt>
                <c:pt idx="1">
                  <c:v>Podejście evidence based w psychologii</c:v>
                </c:pt>
                <c:pt idx="2">
                  <c:v>Filozofia z logiką</c:v>
                </c:pt>
                <c:pt idx="3">
                  <c:v>Psychogenetyka</c:v>
                </c:pt>
                <c:pt idx="4">
                  <c:v>Kompetencje akademickie</c:v>
                </c:pt>
                <c:pt idx="5">
                  <c:v>Lektorat z języka angielskiego I</c:v>
                </c:pt>
                <c:pt idx="6">
                  <c:v>Lektorat z języka angielskiego II</c:v>
                </c:pt>
                <c:pt idx="7">
                  <c:v>Neurobiologia i mechanizmy zachowania</c:v>
                </c:pt>
                <c:pt idx="8">
                  <c:v>Podstawy neurofizjologii dla psychologów</c:v>
                </c:pt>
                <c:pt idx="9">
                  <c:v>Pierwsza pomoc medyczna</c:v>
                </c:pt>
                <c:pt idx="10">
                  <c:v>Podstawy technologii informacyjnej </c:v>
                </c:pt>
                <c:pt idx="11">
                  <c:v>Przedmiot fakultatywny 1: Rola organizacji pozarządowych w systemie ochrony zdrowia / Sport, umysł i granice ludzkich możliwości </c:v>
                </c:pt>
                <c:pt idx="12">
                  <c:v>Przedmiot fakultatywny 2: Społeczne przyczyny kryzysów psychicznych / Podstawy neurobiologii eksperymentalnej </c:v>
                </c:pt>
                <c:pt idx="13">
                  <c:v>#ADR!</c:v>
                </c:pt>
                <c:pt idx="14">
                  <c:v>Psychologia społeczna</c:v>
                </c:pt>
                <c:pt idx="15">
                  <c:v>#ADR!</c:v>
                </c:pt>
                <c:pt idx="16">
                  <c:v>Trening umiejętności interpersonalnych I</c:v>
                </c:pt>
                <c:pt idx="17">
                  <c:v>Wprowadzenie do neuroanatomii</c:v>
                </c:pt>
                <c:pt idx="18">
                  <c:v>Wprowadzenie do psychologii i historii myśli psychologicznej</c:v>
                </c:pt>
                <c:pt idx="19">
                  <c:v>Wprowadzenie do psychologii społecznej</c:v>
                </c:pt>
                <c:pt idx="20">
                  <c:v>Wychowanie fizyczne I</c:v>
                </c:pt>
                <c:pt idx="21">
                  <c:v>Wychowanie fizyczne II</c:v>
                </c:pt>
                <c:pt idx="22">
                  <c:v>sumy dla 1 roku</c:v>
                </c:pt>
                <c:pt idx="23">
                  <c:v>Etyka zawodu psychologa</c:v>
                </c:pt>
                <c:pt idx="24">
                  <c:v>Lektorat z języka angielskiego III</c:v>
                </c:pt>
                <c:pt idx="25">
                  <c:v>Lektorat z języka angielskiego IV</c:v>
                </c:pt>
                <c:pt idx="26">
                  <c:v>Metodologia badań psychologicznych I</c:v>
                </c:pt>
                <c:pt idx="27">
                  <c:v>Ochrona własności intelektualnej</c:v>
                </c:pt>
                <c:pt idx="28">
                  <c:v>Podstawy pomocy psychologicznej </c:v>
                </c:pt>
                <c:pt idx="29">
                  <c:v>Praktyki zawodowe w zakresie pomocy psychologicznej </c:v>
                </c:pt>
                <c:pt idx="30">
                  <c:v>Praktyki zawodowe w zakresie promocji i edukacji zdrowia</c:v>
                </c:pt>
                <c:pt idx="31">
                  <c:v>Przedmiot fakultatywny 4: Podstawy organizacji i zarządzania / Psychologia języka</c:v>
                </c:pt>
                <c:pt idx="32">
                  <c:v>#ADR!</c:v>
                </c:pt>
                <c:pt idx="33">
                  <c:v>Psychologia emocji i motywacji I</c:v>
                </c:pt>
                <c:pt idx="34">
                  <c:v>Psychologia emocji i motywacji II</c:v>
                </c:pt>
                <c:pt idx="35">
                  <c:v>Psychologia osobowości</c:v>
                </c:pt>
                <c:pt idx="36">
                  <c:v>Psychologia procesów poznawczych </c:v>
                </c:pt>
                <c:pt idx="37">
                  <c:v>Psychologia rozwoju człowieka</c:v>
                </c:pt>
                <c:pt idx="38">
                  <c:v>Psychologia różnic indywidualnych I</c:v>
                </c:pt>
                <c:pt idx="39">
                  <c:v>Psychologia różnic indywidualnych II</c:v>
                </c:pt>
                <c:pt idx="40">
                  <c:v>Socjologia</c:v>
                </c:pt>
                <c:pt idx="41">
                  <c:v>sumy dla 2 roku</c:v>
                </c:pt>
                <c:pt idx="42">
                  <c:v>Metodologia badań psychologicznych II</c:v>
                </c:pt>
                <c:pt idx="43">
                  <c:v>Neuropsychologia</c:v>
                </c:pt>
                <c:pt idx="44">
                  <c:v>Podstawy neurologii </c:v>
                </c:pt>
                <c:pt idx="45">
                  <c:v>Praktyki zawodowe w zakresie psychologicznej diagnozy i terapii chorób somatycznych</c:v>
                </c:pt>
                <c:pt idx="46">
                  <c:v>Praktyki zawodowe w zakresie klinicznej diagnozy psychologicznej dorosłych</c:v>
                </c:pt>
                <c:pt idx="47">
                  <c:v>Projekt badawczy grupowy- psychologia zdrowia / psychologia kliniczna</c:v>
                </c:pt>
                <c:pt idx="48">
                  <c:v>Przedmiot fakultatywny 5: Zaburzenia neurorozwojowe / Psychologia kryminalna</c:v>
                </c:pt>
                <c:pt idx="49">
                  <c:v>Przedmiot fakultatywny 6: Podstawy uczenia maszynowego i sieci neuronowych / Psychologia człowieka w świecie AI</c:v>
                </c:pt>
                <c:pt idx="50">
                  <c:v>Psychologia kliniczna dorosłych</c:v>
                </c:pt>
                <c:pt idx="51">
                  <c:v>Psychologia kliniczna dzieci i młodzieży</c:v>
                </c:pt>
                <c:pt idx="52">
                  <c:v>Psychologia środowiska</c:v>
                </c:pt>
                <c:pt idx="53">
                  <c:v>Psychologia zarządzania</c:v>
                </c:pt>
                <c:pt idx="54">
                  <c:v>Psychologia zdrowia</c:v>
                </c:pt>
                <c:pt idx="55">
                  <c:v>Psychometria</c:v>
                </c:pt>
                <c:pt idx="56">
                  <c:v>Psychopatologia</c:v>
                </c:pt>
                <c:pt idx="57">
                  <c:v>Statystyka I</c:v>
                </c:pt>
                <c:pt idx="58">
                  <c:v>Statystyka II</c:v>
                </c:pt>
                <c:pt idx="59">
                  <c:v>Wprowadzenie do psychologii klinicznej</c:v>
                </c:pt>
                <c:pt idx="60">
                  <c:v>sumy dla 3 roku</c:v>
                </c:pt>
                <c:pt idx="61">
                  <c:v>Psychiatria</c:v>
                </c:pt>
                <c:pt idx="62">
                  <c:v>Psychofarmakologia</c:v>
                </c:pt>
                <c:pt idx="63">
                  <c:v>#ADR!</c:v>
                </c:pt>
                <c:pt idx="64">
                  <c:v>#ADR!</c:v>
                </c:pt>
                <c:pt idx="65">
                  <c:v>#ADR!</c:v>
                </c:pt>
                <c:pt idx="66">
                  <c:v>Praktyki zawodowe w zakresie klinicznej diagnozy psychologicznej dzieci i młodzieży</c:v>
                </c:pt>
                <c:pt idx="67">
                  <c:v>Praktyki zawodowe w zakresie neuropsychologii</c:v>
                </c:pt>
                <c:pt idx="68">
                  <c:v>#ADR!</c:v>
                </c:pt>
                <c:pt idx="69">
                  <c:v>#ADR!</c:v>
                </c:pt>
                <c:pt idx="70">
                  <c:v>#ADR!</c:v>
                </c:pt>
                <c:pt idx="71">
                  <c:v>#ADR!</c:v>
                </c:pt>
                <c:pt idx="72">
                  <c:v>#ADR!</c:v>
                </c:pt>
                <c:pt idx="73">
                  <c:v>#ADR!</c:v>
                </c:pt>
                <c:pt idx="74">
                  <c:v>#ADR!</c:v>
                </c:pt>
                <c:pt idx="75">
                  <c:v>#ADR!</c:v>
                </c:pt>
                <c:pt idx="76">
                  <c:v>#ADR!</c:v>
                </c:pt>
                <c:pt idx="77">
                  <c:v>Psychologia uzależnień</c:v>
                </c:pt>
                <c:pt idx="78">
                  <c:v>#ADR!</c:v>
                </c:pt>
                <c:pt idx="79">
                  <c:v>Psychologiczna diagnoza kliniczna dorosłych</c:v>
                </c:pt>
                <c:pt idx="80">
                  <c:v>Psychologiczna diagnoza dzieci i młodzieży z elementami psychoterapii</c:v>
                </c:pt>
                <c:pt idx="81">
                  <c:v>#ADR!</c:v>
                </c:pt>
                <c:pt idx="82">
                  <c:v>Promocja zdrowia</c:v>
                </c:pt>
                <c:pt idx="83">
                  <c:v>Rehabilitacja psychologiczna</c:v>
                </c:pt>
                <c:pt idx="84">
                  <c:v>sumy dla 4 roku</c:v>
                </c:pt>
                <c:pt idx="85">
                  <c:v>Interwencja kryzysowa</c:v>
                </c:pt>
                <c:pt idx="86">
                  <c:v>Przedmiot fakultatywny 10: Zachowania suicydalne – diagnoza i terapia / PK: ADHD – diagnoza i terapia; 
PZ: Fizjoprofilaktyka</c:v>
                </c:pt>
                <c:pt idx="87">
                  <c:v>#ADR!</c:v>
                </c:pt>
                <c:pt idx="88">
                  <c:v>#ADR!</c:v>
                </c:pt>
                <c:pt idx="89">
                  <c:v>#ADR!</c:v>
                </c:pt>
                <c:pt idx="90">
                  <c:v>#ADR!</c:v>
                </c:pt>
                <c:pt idx="91">
                  <c:v>#ADR!</c:v>
                </c:pt>
                <c:pt idx="92">
                  <c:v>#ADR!</c:v>
                </c:pt>
                <c:pt idx="93">
                  <c:v>#ADR!</c:v>
                </c:pt>
                <c:pt idx="94">
                  <c:v>#ADR!</c:v>
                </c:pt>
                <c:pt idx="95">
                  <c:v>#ADR!</c:v>
                </c:pt>
                <c:pt idx="96">
                  <c:v>#ADR!</c:v>
                </c:pt>
                <c:pt idx="97">
                  <c:v>#ADR!</c:v>
                </c:pt>
                <c:pt idx="98">
                  <c:v>Seksuologia</c:v>
                </c:pt>
                <c:pt idx="99">
                  <c:v>Seminarium magisterskie III</c:v>
                </c:pt>
                <c:pt idx="100">
                  <c:v>Seminarium magisterskie IV</c:v>
                </c:pt>
                <c:pt idx="101">
                  <c:v>Zdrowie publiczne w praktyce psychologa</c:v>
                </c:pt>
                <c:pt idx="102">
                  <c:v>sumy dla 5 roku</c:v>
                </c:pt>
                <c:pt idx="103">
                  <c:v>RAZEM</c:v>
                </c:pt>
              </c:strCache>
            </c:strRef>
          </c:cat>
          <c:val>
            <c:numRef>
              <c:f>Matryca_PZ!$S$20:$S$123</c:f>
              <c:numCache>
                <c:formatCode>General</c:formatCode>
                <c:ptCount val="10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B7-4E9F-AAA2-873D1A3FA50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181266528"/>
        <c:axId val="1181264864"/>
      </c:barChart>
      <c:catAx>
        <c:axId val="11812665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sm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181264864"/>
        <c:crosses val="autoZero"/>
        <c:auto val="1"/>
        <c:lblAlgn val="ctr"/>
        <c:lblOffset val="100"/>
        <c:noMultiLvlLbl val="0"/>
      </c:catAx>
      <c:valAx>
        <c:axId val="1181264864"/>
        <c:scaling>
          <c:orientation val="minMax"/>
        </c:scaling>
        <c:delete val="0"/>
        <c:axPos val="t"/>
        <c:numFmt formatCode="0%" sourceLinked="1"/>
        <c:majorTickMark val="none"/>
        <c:minorTickMark val="none"/>
        <c:tickLblPos val="nextTo"/>
        <c:spPr>
          <a:solidFill>
            <a:schemeClr val="bg1">
              <a:lumMod val="95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181266528"/>
        <c:crosses val="autoZero"/>
        <c:crossBetween val="between"/>
      </c:valAx>
      <c:spPr>
        <a:noFill/>
        <a:ln w="6350">
          <a:solidFill>
            <a:schemeClr val="bg1">
              <a:lumMod val="9500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1.7944952089903727E-2"/>
          <c:y val="1.2088956083465853E-3"/>
          <c:w val="0.40993035800819544"/>
          <c:h val="5.111861474979813E-3"/>
        </c:manualLayout>
      </c:layout>
      <c:overlay val="0"/>
      <c:spPr>
        <a:solidFill>
          <a:schemeClr val="bg1">
            <a:lumMod val="9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25400" cap="flat" cmpd="sng" algn="ctr">
      <a:solidFill>
        <a:schemeClr val="tx1"/>
      </a:solidFill>
      <a:round/>
    </a:ln>
    <a:effectLst>
      <a:softEdge rad="101600"/>
    </a:effectLst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pl-PL" sz="1500" b="1"/>
              <a:t>STOPIEŃ</a:t>
            </a:r>
            <a:r>
              <a:rPr lang="pl-PL" sz="1500" b="1" baseline="0"/>
              <a:t> WYSYCENIA EFEKTÓW W CYKLU KSZTAŁCENIA</a:t>
            </a:r>
            <a:endParaRPr lang="pl-PL" sz="15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Matryca_fakultety!$T$18:$CC$19</c:f>
              <c:multiLvlStrCache>
                <c:ptCount val="50"/>
                <c:lvl>
                  <c:pt idx="0">
                    <c:v>K_W01</c:v>
                  </c:pt>
                  <c:pt idx="1">
                    <c:v>K_W02</c:v>
                  </c:pt>
                  <c:pt idx="2">
                    <c:v>K_W03</c:v>
                  </c:pt>
                  <c:pt idx="3">
                    <c:v>K_W04</c:v>
                  </c:pt>
                  <c:pt idx="4">
                    <c:v>K_W05</c:v>
                  </c:pt>
                  <c:pt idx="5">
                    <c:v>K_W06</c:v>
                  </c:pt>
                  <c:pt idx="6">
                    <c:v>K_W07</c:v>
                  </c:pt>
                  <c:pt idx="7">
                    <c:v>K_W08</c:v>
                  </c:pt>
                  <c:pt idx="8">
                    <c:v>K_W09</c:v>
                  </c:pt>
                  <c:pt idx="9">
                    <c:v>K_W10</c:v>
                  </c:pt>
                  <c:pt idx="10">
                    <c:v>K_W11</c:v>
                  </c:pt>
                  <c:pt idx="11">
                    <c:v>K_W12</c:v>
                  </c:pt>
                  <c:pt idx="12">
                    <c:v>K_U01</c:v>
                  </c:pt>
                  <c:pt idx="13">
                    <c:v>K_U02</c:v>
                  </c:pt>
                  <c:pt idx="14">
                    <c:v>K_U03</c:v>
                  </c:pt>
                  <c:pt idx="15">
                    <c:v>K_U04</c:v>
                  </c:pt>
                  <c:pt idx="16">
                    <c:v>K_U05</c:v>
                  </c:pt>
                  <c:pt idx="17">
                    <c:v>K_U06</c:v>
                  </c:pt>
                  <c:pt idx="18">
                    <c:v>K_U07</c:v>
                  </c:pt>
                  <c:pt idx="19">
                    <c:v>K_U08</c:v>
                  </c:pt>
                  <c:pt idx="20">
                    <c:v>K_U09</c:v>
                  </c:pt>
                  <c:pt idx="21">
                    <c:v>K_U10</c:v>
                  </c:pt>
                  <c:pt idx="22">
                    <c:v>K_U11</c:v>
                  </c:pt>
                  <c:pt idx="23">
                    <c:v>K_U12</c:v>
                  </c:pt>
                  <c:pt idx="24">
                    <c:v>K_U13</c:v>
                  </c:pt>
                  <c:pt idx="25">
                    <c:v>K_U14</c:v>
                  </c:pt>
                  <c:pt idx="26">
                    <c:v>K_U15</c:v>
                  </c:pt>
                  <c:pt idx="27">
                    <c:v>K_U16</c:v>
                  </c:pt>
                  <c:pt idx="28">
                    <c:v>K_U17</c:v>
                  </c:pt>
                  <c:pt idx="29">
                    <c:v>K_U18</c:v>
                  </c:pt>
                  <c:pt idx="30">
                    <c:v>K_U19</c:v>
                  </c:pt>
                  <c:pt idx="31">
                    <c:v>K_U20</c:v>
                  </c:pt>
                  <c:pt idx="32">
                    <c:v>K_U21</c:v>
                  </c:pt>
                  <c:pt idx="33">
                    <c:v>K_U22</c:v>
                  </c:pt>
                  <c:pt idx="34">
                    <c:v>K_U23</c:v>
                  </c:pt>
                  <c:pt idx="35">
                    <c:v>K_U24</c:v>
                  </c:pt>
                  <c:pt idx="36">
                    <c:v>K_U25</c:v>
                  </c:pt>
                  <c:pt idx="37">
                    <c:v>K_U26</c:v>
                  </c:pt>
                  <c:pt idx="38">
                    <c:v>K_U27</c:v>
                  </c:pt>
                  <c:pt idx="39">
                    <c:v>K_U28</c:v>
                  </c:pt>
                  <c:pt idx="40">
                    <c:v>K_K01</c:v>
                  </c:pt>
                  <c:pt idx="41">
                    <c:v>K_K02</c:v>
                  </c:pt>
                  <c:pt idx="42">
                    <c:v>K_K03</c:v>
                  </c:pt>
                  <c:pt idx="43">
                    <c:v>K_K04</c:v>
                  </c:pt>
                  <c:pt idx="44">
                    <c:v>K_K05</c:v>
                  </c:pt>
                  <c:pt idx="45">
                    <c:v>K_K06</c:v>
                  </c:pt>
                  <c:pt idx="46">
                    <c:v>K_K07</c:v>
                  </c:pt>
                  <c:pt idx="47">
                    <c:v>K_K08</c:v>
                  </c:pt>
                  <c:pt idx="48">
                    <c:v>K_K09</c:v>
                  </c:pt>
                </c:lvl>
                <c:lvl>
                  <c:pt idx="0">
                    <c:v>Wiedza</c:v>
                  </c:pt>
                  <c:pt idx="12">
                    <c:v>Umiejętności</c:v>
                  </c:pt>
                  <c:pt idx="40">
                    <c:v>Kompetencje społeczne</c:v>
                  </c:pt>
                  <c:pt idx="49">
                    <c:v>Proporcje poszczególnych kategorii efektów dla przedmiotu</c:v>
                  </c:pt>
                </c:lvl>
              </c:multiLvlStrCache>
            </c:multiLvlStrRef>
          </c:cat>
          <c:val>
            <c:numRef>
              <c:f>Matryca_fakultety!$T$47:$BP$47</c:f>
              <c:numCache>
                <c:formatCode>General</c:formatCode>
                <c:ptCount val="49"/>
                <c:pt idx="0">
                  <c:v>3</c:v>
                </c:pt>
                <c:pt idx="1">
                  <c:v>2</c:v>
                </c:pt>
                <c:pt idx="2">
                  <c:v>5</c:v>
                </c:pt>
                <c:pt idx="3">
                  <c:v>1</c:v>
                </c:pt>
                <c:pt idx="4">
                  <c:v>7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5</c:v>
                </c:pt>
                <c:pt idx="10">
                  <c:v>4</c:v>
                </c:pt>
                <c:pt idx="11">
                  <c:v>3</c:v>
                </c:pt>
                <c:pt idx="12">
                  <c:v>6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8</c:v>
                </c:pt>
                <c:pt idx="17">
                  <c:v>10</c:v>
                </c:pt>
                <c:pt idx="18">
                  <c:v>6</c:v>
                </c:pt>
                <c:pt idx="19">
                  <c:v>2</c:v>
                </c:pt>
                <c:pt idx="20">
                  <c:v>6</c:v>
                </c:pt>
                <c:pt idx="21">
                  <c:v>2</c:v>
                </c:pt>
                <c:pt idx="22">
                  <c:v>9</c:v>
                </c:pt>
                <c:pt idx="23">
                  <c:v>0</c:v>
                </c:pt>
                <c:pt idx="24">
                  <c:v>4</c:v>
                </c:pt>
                <c:pt idx="25">
                  <c:v>2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  <c:pt idx="29">
                  <c:v>4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4</c:v>
                </c:pt>
                <c:pt idx="34">
                  <c:v>1</c:v>
                </c:pt>
                <c:pt idx="35">
                  <c:v>1</c:v>
                </c:pt>
                <c:pt idx="36">
                  <c:v>3</c:v>
                </c:pt>
                <c:pt idx="37">
                  <c:v>1</c:v>
                </c:pt>
                <c:pt idx="38">
                  <c:v>2</c:v>
                </c:pt>
                <c:pt idx="39">
                  <c:v>1</c:v>
                </c:pt>
                <c:pt idx="40">
                  <c:v>4</c:v>
                </c:pt>
                <c:pt idx="41">
                  <c:v>6</c:v>
                </c:pt>
                <c:pt idx="42">
                  <c:v>9</c:v>
                </c:pt>
                <c:pt idx="43">
                  <c:v>5</c:v>
                </c:pt>
                <c:pt idx="44">
                  <c:v>1</c:v>
                </c:pt>
                <c:pt idx="45">
                  <c:v>5</c:v>
                </c:pt>
                <c:pt idx="46">
                  <c:v>4</c:v>
                </c:pt>
                <c:pt idx="47">
                  <c:v>8</c:v>
                </c:pt>
                <c:pt idx="4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5B-415A-8E92-B60526A3EA6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64441167"/>
        <c:axId val="1764439503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>
                    <a:gsLst>
                      <a:gs pos="0">
                        <a:schemeClr val="accent1"/>
                      </a:gs>
                      <a:gs pos="100000">
                        <a:schemeClr val="accent1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Matryca_fakultety!$T$18:$CC$19</c15:sqref>
                        </c15:formulaRef>
                      </c:ext>
                    </c:extLst>
                    <c:multiLvlStrCache>
                      <c:ptCount val="50"/>
                      <c:lvl>
                        <c:pt idx="0">
                          <c:v>K_W01</c:v>
                        </c:pt>
                        <c:pt idx="1">
                          <c:v>K_W02</c:v>
                        </c:pt>
                        <c:pt idx="2">
                          <c:v>K_W03</c:v>
                        </c:pt>
                        <c:pt idx="3">
                          <c:v>K_W04</c:v>
                        </c:pt>
                        <c:pt idx="4">
                          <c:v>K_W05</c:v>
                        </c:pt>
                        <c:pt idx="5">
                          <c:v>K_W06</c:v>
                        </c:pt>
                        <c:pt idx="6">
                          <c:v>K_W07</c:v>
                        </c:pt>
                        <c:pt idx="7">
                          <c:v>K_W08</c:v>
                        </c:pt>
                        <c:pt idx="8">
                          <c:v>K_W09</c:v>
                        </c:pt>
                        <c:pt idx="9">
                          <c:v>K_W10</c:v>
                        </c:pt>
                        <c:pt idx="10">
                          <c:v>K_W11</c:v>
                        </c:pt>
                        <c:pt idx="11">
                          <c:v>K_W12</c:v>
                        </c:pt>
                        <c:pt idx="12">
                          <c:v>K_U01</c:v>
                        </c:pt>
                        <c:pt idx="13">
                          <c:v>K_U02</c:v>
                        </c:pt>
                        <c:pt idx="14">
                          <c:v>K_U03</c:v>
                        </c:pt>
                        <c:pt idx="15">
                          <c:v>K_U04</c:v>
                        </c:pt>
                        <c:pt idx="16">
                          <c:v>K_U05</c:v>
                        </c:pt>
                        <c:pt idx="17">
                          <c:v>K_U06</c:v>
                        </c:pt>
                        <c:pt idx="18">
                          <c:v>K_U07</c:v>
                        </c:pt>
                        <c:pt idx="19">
                          <c:v>K_U08</c:v>
                        </c:pt>
                        <c:pt idx="20">
                          <c:v>K_U09</c:v>
                        </c:pt>
                        <c:pt idx="21">
                          <c:v>K_U10</c:v>
                        </c:pt>
                        <c:pt idx="22">
                          <c:v>K_U11</c:v>
                        </c:pt>
                        <c:pt idx="23">
                          <c:v>K_U12</c:v>
                        </c:pt>
                        <c:pt idx="24">
                          <c:v>K_U13</c:v>
                        </c:pt>
                        <c:pt idx="25">
                          <c:v>K_U14</c:v>
                        </c:pt>
                        <c:pt idx="26">
                          <c:v>K_U15</c:v>
                        </c:pt>
                        <c:pt idx="27">
                          <c:v>K_U16</c:v>
                        </c:pt>
                        <c:pt idx="28">
                          <c:v>K_U17</c:v>
                        </c:pt>
                        <c:pt idx="29">
                          <c:v>K_U18</c:v>
                        </c:pt>
                        <c:pt idx="30">
                          <c:v>K_U19</c:v>
                        </c:pt>
                        <c:pt idx="31">
                          <c:v>K_U20</c:v>
                        </c:pt>
                        <c:pt idx="32">
                          <c:v>K_U21</c:v>
                        </c:pt>
                        <c:pt idx="33">
                          <c:v>K_U22</c:v>
                        </c:pt>
                        <c:pt idx="34">
                          <c:v>K_U23</c:v>
                        </c:pt>
                        <c:pt idx="35">
                          <c:v>K_U24</c:v>
                        </c:pt>
                        <c:pt idx="36">
                          <c:v>K_U25</c:v>
                        </c:pt>
                        <c:pt idx="37">
                          <c:v>K_U26</c:v>
                        </c:pt>
                        <c:pt idx="38">
                          <c:v>K_U27</c:v>
                        </c:pt>
                        <c:pt idx="39">
                          <c:v>K_U28</c:v>
                        </c:pt>
                        <c:pt idx="40">
                          <c:v>K_K01</c:v>
                        </c:pt>
                        <c:pt idx="41">
                          <c:v>K_K02</c:v>
                        </c:pt>
                        <c:pt idx="42">
                          <c:v>K_K03</c:v>
                        </c:pt>
                        <c:pt idx="43">
                          <c:v>K_K04</c:v>
                        </c:pt>
                        <c:pt idx="44">
                          <c:v>K_K05</c:v>
                        </c:pt>
                        <c:pt idx="45">
                          <c:v>K_K06</c:v>
                        </c:pt>
                        <c:pt idx="46">
                          <c:v>K_K07</c:v>
                        </c:pt>
                        <c:pt idx="47">
                          <c:v>K_K08</c:v>
                        </c:pt>
                        <c:pt idx="48">
                          <c:v>K_K09</c:v>
                        </c:pt>
                      </c:lvl>
                      <c:lvl>
                        <c:pt idx="0">
                          <c:v>Wiedza</c:v>
                        </c:pt>
                        <c:pt idx="12">
                          <c:v>Umiejętności</c:v>
                        </c:pt>
                        <c:pt idx="40">
                          <c:v>Kompetencje społeczne</c:v>
                        </c:pt>
                        <c:pt idx="49">
                          <c:v>Proporcje poszczególnych kategorii efektów dla przedmiotu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Matryca_fakultety!$T$19:$BP$19</c15:sqref>
                        </c15:formulaRef>
                      </c:ext>
                    </c:extLst>
                    <c:numCache>
                      <c:formatCode>General</c:formatCode>
                      <c:ptCount val="4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75B-415A-8E92-B60526A3EA62}"/>
                  </c:ext>
                </c:extLst>
              </c15:ser>
            </c15:filteredBarSeries>
          </c:ext>
        </c:extLst>
      </c:barChart>
      <c:catAx>
        <c:axId val="1764441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64439503"/>
        <c:crosses val="autoZero"/>
        <c:auto val="0"/>
        <c:lblAlgn val="ctr"/>
        <c:lblOffset val="100"/>
        <c:noMultiLvlLbl val="0"/>
      </c:catAx>
      <c:valAx>
        <c:axId val="176443950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6444116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433240929192142E-2"/>
          <c:y val="6.074107131463456E-3"/>
          <c:w val="0.96713351814161574"/>
          <c:h val="0.99095211920282589"/>
        </c:manualLayout>
      </c:layout>
      <c:barChart>
        <c:barDir val="bar"/>
        <c:grouping val="percentStacked"/>
        <c:varyColors val="0"/>
        <c:ser>
          <c:idx val="0"/>
          <c:order val="0"/>
          <c:tx>
            <c:v>WIEDZA</c:v>
          </c:tx>
          <c:spPr>
            <a:solidFill>
              <a:srgbClr val="00B05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Matryca_fakultety!$I$20:$I$47</c:f>
              <c:strCache>
                <c:ptCount val="28"/>
                <c:pt idx="0">
                  <c:v>Przedmiot fakultatywny 2: Podstawy neurobiologii eksperymentalnej</c:v>
                </c:pt>
                <c:pt idx="1">
                  <c:v>Przedmiot fakultatywny 1: Sport umysł i granice ludzkich możliwości </c:v>
                </c:pt>
                <c:pt idx="2">
                  <c:v>Przedmiot fakultatywny 2: Społeczne przyczyny kryzysów psychicznych</c:v>
                </c:pt>
                <c:pt idx="3">
                  <c:v>Przedmiot fakultatywny 1:Rola organizacji pozarządowych w systemie ochrony zdrowia</c:v>
                </c:pt>
                <c:pt idx="4">
                  <c:v>sumy dla 1 roku</c:v>
                </c:pt>
                <c:pt idx="5">
                  <c:v>Przedmiot fakultatywny 3: Prowadzenie działalności</c:v>
                </c:pt>
                <c:pt idx="6">
                  <c:v>Przedmiot fakultatywny 3: Kampanie społeczne</c:v>
                </c:pt>
                <c:pt idx="7">
                  <c:v>Przedmiot fakultatywny 4: Podstawy organizacji i zarządzania</c:v>
                </c:pt>
                <c:pt idx="8">
                  <c:v>Przedmiot fakultatywny 4: Psychologia języka</c:v>
                </c:pt>
                <c:pt idx="9">
                  <c:v>sumy dla 2 roku</c:v>
                </c:pt>
                <c:pt idx="10">
                  <c:v>Przedmiot fakultatywny 5: Zaburzenia neurorozwojowe</c:v>
                </c:pt>
                <c:pt idx="11">
                  <c:v>Przedmiot fakultatywny 5: Psychologia kryminalna</c:v>
                </c:pt>
                <c:pt idx="12">
                  <c:v>Przedmiot fakultatywny 6: Podstawy uczenia maszynowego i sieci neuronowych</c:v>
                </c:pt>
                <c:pt idx="13">
                  <c:v>Przedmiot fakultatywny 6: Psychologia człowieka w świecie AI</c:v>
                </c:pt>
                <c:pt idx="14">
                  <c:v>sumy dla 3 roku</c:v>
                </c:pt>
                <c:pt idx="15">
                  <c:v>Przedmiot fakultatywny 7: Trening komunikacji międzykulturowej</c:v>
                </c:pt>
                <c:pt idx="16">
                  <c:v>Przedmiot fakultatywny 7: Psychoseksuologia</c:v>
                </c:pt>
                <c:pt idx="17">
                  <c:v>Przedmiot fakultatywny 7: Terapia perfekcjonizmu w podejściu poznawczo – behawioralnym</c:v>
                </c:pt>
                <c:pt idx="18">
                  <c:v>Przedmiot fakultatywny 8: Psychologia zwycięstwa</c:v>
                </c:pt>
                <c:pt idx="19">
                  <c:v>Przedmiot fakultatywny 8: Podstawy marketingu</c:v>
                </c:pt>
                <c:pt idx="20">
                  <c:v>Przedmiot fakultatywny 9: Podstawy psychoterapii zaburzeń odżywiania</c:v>
                </c:pt>
                <c:pt idx="21">
                  <c:v>Przedmiot fakultatywny 9: Podstawy terapii DBT</c:v>
                </c:pt>
                <c:pt idx="22">
                  <c:v>sumy dla 4 roku</c:v>
                </c:pt>
                <c:pt idx="23">
                  <c:v>Przedmiot fakultatywny 10: Zachowania suicydalne – diagnoza i terapia</c:v>
                </c:pt>
                <c:pt idx="24">
                  <c:v>Przedmiot fakultatywny 10: ADHD- diagnoza i terapia;</c:v>
                </c:pt>
                <c:pt idx="25">
                  <c:v>Przedmiot fakultatywny 10: Fizjoprofilaktyka</c:v>
                </c:pt>
                <c:pt idx="26">
                  <c:v>sumy dla 5 roku</c:v>
                </c:pt>
                <c:pt idx="27">
                  <c:v>RAZEM</c:v>
                </c:pt>
              </c:strCache>
            </c:strRef>
          </c:cat>
          <c:val>
            <c:numRef>
              <c:f>Matryca_fakultety!$Q$20:$Q$47</c:f>
              <c:numCache>
                <c:formatCode>General</c:formatCode>
                <c:ptCount val="28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11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11</c:v>
                </c:pt>
                <c:pt idx="27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3E-417C-B3CB-0D1A9CCCCC83}"/>
            </c:ext>
          </c:extLst>
        </c:ser>
        <c:ser>
          <c:idx val="1"/>
          <c:order val="1"/>
          <c:tx>
            <c:v>UMIEJĘTNOŚCI</c:v>
          </c:tx>
          <c:spPr>
            <a:solidFill>
              <a:srgbClr val="0070C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Matryca_fakultety!$I$20:$I$47</c:f>
              <c:strCache>
                <c:ptCount val="28"/>
                <c:pt idx="0">
                  <c:v>Przedmiot fakultatywny 2: Podstawy neurobiologii eksperymentalnej</c:v>
                </c:pt>
                <c:pt idx="1">
                  <c:v>Przedmiot fakultatywny 1: Sport umysł i granice ludzkich możliwości </c:v>
                </c:pt>
                <c:pt idx="2">
                  <c:v>Przedmiot fakultatywny 2: Społeczne przyczyny kryzysów psychicznych</c:v>
                </c:pt>
                <c:pt idx="3">
                  <c:v>Przedmiot fakultatywny 1:Rola organizacji pozarządowych w systemie ochrony zdrowia</c:v>
                </c:pt>
                <c:pt idx="4">
                  <c:v>sumy dla 1 roku</c:v>
                </c:pt>
                <c:pt idx="5">
                  <c:v>Przedmiot fakultatywny 3: Prowadzenie działalności</c:v>
                </c:pt>
                <c:pt idx="6">
                  <c:v>Przedmiot fakultatywny 3: Kampanie społeczne</c:v>
                </c:pt>
                <c:pt idx="7">
                  <c:v>Przedmiot fakultatywny 4: Podstawy organizacji i zarządzania</c:v>
                </c:pt>
                <c:pt idx="8">
                  <c:v>Przedmiot fakultatywny 4: Psychologia języka</c:v>
                </c:pt>
                <c:pt idx="9">
                  <c:v>sumy dla 2 roku</c:v>
                </c:pt>
                <c:pt idx="10">
                  <c:v>Przedmiot fakultatywny 5: Zaburzenia neurorozwojowe</c:v>
                </c:pt>
                <c:pt idx="11">
                  <c:v>Przedmiot fakultatywny 5: Psychologia kryminalna</c:v>
                </c:pt>
                <c:pt idx="12">
                  <c:v>Przedmiot fakultatywny 6: Podstawy uczenia maszynowego i sieci neuronowych</c:v>
                </c:pt>
                <c:pt idx="13">
                  <c:v>Przedmiot fakultatywny 6: Psychologia człowieka w świecie AI</c:v>
                </c:pt>
                <c:pt idx="14">
                  <c:v>sumy dla 3 roku</c:v>
                </c:pt>
                <c:pt idx="15">
                  <c:v>Przedmiot fakultatywny 7: Trening komunikacji międzykulturowej</c:v>
                </c:pt>
                <c:pt idx="16">
                  <c:v>Przedmiot fakultatywny 7: Psychoseksuologia</c:v>
                </c:pt>
                <c:pt idx="17">
                  <c:v>Przedmiot fakultatywny 7: Terapia perfekcjonizmu w podejściu poznawczo – behawioralnym</c:v>
                </c:pt>
                <c:pt idx="18">
                  <c:v>Przedmiot fakultatywny 8: Psychologia zwycięstwa</c:v>
                </c:pt>
                <c:pt idx="19">
                  <c:v>Przedmiot fakultatywny 8: Podstawy marketingu</c:v>
                </c:pt>
                <c:pt idx="20">
                  <c:v>Przedmiot fakultatywny 9: Podstawy psychoterapii zaburzeń odżywiania</c:v>
                </c:pt>
                <c:pt idx="21">
                  <c:v>Przedmiot fakultatywny 9: Podstawy terapii DBT</c:v>
                </c:pt>
                <c:pt idx="22">
                  <c:v>sumy dla 4 roku</c:v>
                </c:pt>
                <c:pt idx="23">
                  <c:v>Przedmiot fakultatywny 10: Zachowania suicydalne – diagnoza i terapia</c:v>
                </c:pt>
                <c:pt idx="24">
                  <c:v>Przedmiot fakultatywny 10: ADHD- diagnoza i terapia;</c:v>
                </c:pt>
                <c:pt idx="25">
                  <c:v>Przedmiot fakultatywny 10: Fizjoprofilaktyka</c:v>
                </c:pt>
                <c:pt idx="26">
                  <c:v>sumy dla 5 roku</c:v>
                </c:pt>
                <c:pt idx="27">
                  <c:v>RAZEM</c:v>
                </c:pt>
              </c:strCache>
            </c:strRef>
          </c:cat>
          <c:val>
            <c:numRef>
              <c:f>Matryca_fakultety!$R$20:$R$47</c:f>
              <c:numCache>
                <c:formatCode>General</c:formatCode>
                <c:ptCount val="28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13</c:v>
                </c:pt>
                <c:pt idx="5">
                  <c:v>5</c:v>
                </c:pt>
                <c:pt idx="6">
                  <c:v>3</c:v>
                </c:pt>
                <c:pt idx="7">
                  <c:v>5</c:v>
                </c:pt>
                <c:pt idx="8">
                  <c:v>3</c:v>
                </c:pt>
                <c:pt idx="9">
                  <c:v>8</c:v>
                </c:pt>
                <c:pt idx="10">
                  <c:v>5</c:v>
                </c:pt>
                <c:pt idx="11">
                  <c:v>5</c:v>
                </c:pt>
                <c:pt idx="12">
                  <c:v>3</c:v>
                </c:pt>
                <c:pt idx="13">
                  <c:v>4</c:v>
                </c:pt>
                <c:pt idx="14">
                  <c:v>17</c:v>
                </c:pt>
                <c:pt idx="15">
                  <c:v>3</c:v>
                </c:pt>
                <c:pt idx="16">
                  <c:v>5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3</c:v>
                </c:pt>
                <c:pt idx="22">
                  <c:v>26</c:v>
                </c:pt>
                <c:pt idx="23">
                  <c:v>6</c:v>
                </c:pt>
                <c:pt idx="24">
                  <c:v>6</c:v>
                </c:pt>
                <c:pt idx="25">
                  <c:v>5</c:v>
                </c:pt>
                <c:pt idx="26">
                  <c:v>17</c:v>
                </c:pt>
                <c:pt idx="27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3E-417C-B3CB-0D1A9CCCCC83}"/>
            </c:ext>
          </c:extLst>
        </c:ser>
        <c:ser>
          <c:idx val="2"/>
          <c:order val="2"/>
          <c:tx>
            <c:v>KOMPETENCJE SPOŁECZNE</c:v>
          </c:tx>
          <c:spPr>
            <a:solidFill>
              <a:srgbClr val="EAB2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Matryca_fakultety!$I$20:$I$47</c:f>
              <c:strCache>
                <c:ptCount val="28"/>
                <c:pt idx="0">
                  <c:v>Przedmiot fakultatywny 2: Podstawy neurobiologii eksperymentalnej</c:v>
                </c:pt>
                <c:pt idx="1">
                  <c:v>Przedmiot fakultatywny 1: Sport umysł i granice ludzkich możliwości </c:v>
                </c:pt>
                <c:pt idx="2">
                  <c:v>Przedmiot fakultatywny 2: Społeczne przyczyny kryzysów psychicznych</c:v>
                </c:pt>
                <c:pt idx="3">
                  <c:v>Przedmiot fakultatywny 1:Rola organizacji pozarządowych w systemie ochrony zdrowia</c:v>
                </c:pt>
                <c:pt idx="4">
                  <c:v>sumy dla 1 roku</c:v>
                </c:pt>
                <c:pt idx="5">
                  <c:v>Przedmiot fakultatywny 3: Prowadzenie działalności</c:v>
                </c:pt>
                <c:pt idx="6">
                  <c:v>Przedmiot fakultatywny 3: Kampanie społeczne</c:v>
                </c:pt>
                <c:pt idx="7">
                  <c:v>Przedmiot fakultatywny 4: Podstawy organizacji i zarządzania</c:v>
                </c:pt>
                <c:pt idx="8">
                  <c:v>Przedmiot fakultatywny 4: Psychologia języka</c:v>
                </c:pt>
                <c:pt idx="9">
                  <c:v>sumy dla 2 roku</c:v>
                </c:pt>
                <c:pt idx="10">
                  <c:v>Przedmiot fakultatywny 5: Zaburzenia neurorozwojowe</c:v>
                </c:pt>
                <c:pt idx="11">
                  <c:v>Przedmiot fakultatywny 5: Psychologia kryminalna</c:v>
                </c:pt>
                <c:pt idx="12">
                  <c:v>Przedmiot fakultatywny 6: Podstawy uczenia maszynowego i sieci neuronowych</c:v>
                </c:pt>
                <c:pt idx="13">
                  <c:v>Przedmiot fakultatywny 6: Psychologia człowieka w świecie AI</c:v>
                </c:pt>
                <c:pt idx="14">
                  <c:v>sumy dla 3 roku</c:v>
                </c:pt>
                <c:pt idx="15">
                  <c:v>Przedmiot fakultatywny 7: Trening komunikacji międzykulturowej</c:v>
                </c:pt>
                <c:pt idx="16">
                  <c:v>Przedmiot fakultatywny 7: Psychoseksuologia</c:v>
                </c:pt>
                <c:pt idx="17">
                  <c:v>Przedmiot fakultatywny 7: Terapia perfekcjonizmu w podejściu poznawczo – behawioralnym</c:v>
                </c:pt>
                <c:pt idx="18">
                  <c:v>Przedmiot fakultatywny 8: Psychologia zwycięstwa</c:v>
                </c:pt>
                <c:pt idx="19">
                  <c:v>Przedmiot fakultatywny 8: Podstawy marketingu</c:v>
                </c:pt>
                <c:pt idx="20">
                  <c:v>Przedmiot fakultatywny 9: Podstawy psychoterapii zaburzeń odżywiania</c:v>
                </c:pt>
                <c:pt idx="21">
                  <c:v>Przedmiot fakultatywny 9: Podstawy terapii DBT</c:v>
                </c:pt>
                <c:pt idx="22">
                  <c:v>sumy dla 4 roku</c:v>
                </c:pt>
                <c:pt idx="23">
                  <c:v>Przedmiot fakultatywny 10: Zachowania suicydalne – diagnoza i terapia</c:v>
                </c:pt>
                <c:pt idx="24">
                  <c:v>Przedmiot fakultatywny 10: ADHD- diagnoza i terapia;</c:v>
                </c:pt>
                <c:pt idx="25">
                  <c:v>Przedmiot fakultatywny 10: Fizjoprofilaktyka</c:v>
                </c:pt>
                <c:pt idx="26">
                  <c:v>sumy dla 5 roku</c:v>
                </c:pt>
                <c:pt idx="27">
                  <c:v>RAZEM</c:v>
                </c:pt>
              </c:strCache>
            </c:strRef>
          </c:cat>
          <c:val>
            <c:numRef>
              <c:f>Matryca_fakultety!$S$20:$S$47</c:f>
              <c:numCache>
                <c:formatCode>General</c:formatCode>
                <c:ptCount val="28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7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8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18</c:v>
                </c:pt>
                <c:pt idx="23">
                  <c:v>3</c:v>
                </c:pt>
                <c:pt idx="24">
                  <c:v>3</c:v>
                </c:pt>
                <c:pt idx="25">
                  <c:v>1</c:v>
                </c:pt>
                <c:pt idx="26">
                  <c:v>7</c:v>
                </c:pt>
                <c:pt idx="27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3E-417C-B3CB-0D1A9CCCCC8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181266528"/>
        <c:axId val="1181264864"/>
      </c:barChart>
      <c:catAx>
        <c:axId val="11812665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sm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181264864"/>
        <c:crosses val="autoZero"/>
        <c:auto val="1"/>
        <c:lblAlgn val="ctr"/>
        <c:lblOffset val="100"/>
        <c:noMultiLvlLbl val="0"/>
      </c:catAx>
      <c:valAx>
        <c:axId val="1181264864"/>
        <c:scaling>
          <c:orientation val="minMax"/>
        </c:scaling>
        <c:delete val="0"/>
        <c:axPos val="t"/>
        <c:numFmt formatCode="0%" sourceLinked="1"/>
        <c:majorTickMark val="none"/>
        <c:minorTickMark val="none"/>
        <c:tickLblPos val="nextTo"/>
        <c:spPr>
          <a:solidFill>
            <a:schemeClr val="bg1">
              <a:lumMod val="95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181266528"/>
        <c:crosses val="autoZero"/>
        <c:crossBetween val="between"/>
      </c:valAx>
      <c:spPr>
        <a:noFill/>
        <a:ln w="6350">
          <a:solidFill>
            <a:schemeClr val="bg1">
              <a:lumMod val="9500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2.0667095443878337E-2"/>
          <c:y val="6.6580199782539633E-3"/>
          <c:w val="0.41068041054994991"/>
          <c:h val="1.60506962161925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25400" cap="flat" cmpd="sng" algn="ctr">
      <a:solidFill>
        <a:schemeClr val="tx1"/>
      </a:solidFill>
      <a:round/>
    </a:ln>
    <a:effectLst>
      <a:softEdge rad="101600"/>
    </a:effectLst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322128</xdr:colOff>
      <xdr:row>3</xdr:row>
      <xdr:rowOff>93617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11472D1-076D-4035-9057-F2120AAB9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2624234" cy="680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362479</xdr:colOff>
      <xdr:row>3</xdr:row>
      <xdr:rowOff>15784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9824F99-DA09-43C0-8A60-AC25C513B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2610379" cy="663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398317</xdr:colOff>
      <xdr:row>0</xdr:row>
      <xdr:rowOff>186789</xdr:rowOff>
    </xdr:from>
    <xdr:to>
      <xdr:col>68</xdr:col>
      <xdr:colOff>17318</xdr:colOff>
      <xdr:row>16</xdr:row>
      <xdr:rowOff>305543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74B1913C-E3DB-4330-8841-7E4847FCED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68</xdr:col>
      <xdr:colOff>17319</xdr:colOff>
      <xdr:row>18</xdr:row>
      <xdr:rowOff>588817</xdr:rowOff>
    </xdr:from>
    <xdr:to>
      <xdr:col>81</xdr:col>
      <xdr:colOff>17319</xdr:colOff>
      <xdr:row>123</xdr:row>
      <xdr:rowOff>138545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71838068-42FC-490F-B6DF-CDA2351C94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362479</xdr:colOff>
      <xdr:row>3</xdr:row>
      <xdr:rowOff>15784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81F3473-29BB-4D15-9A12-D8089F535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2618519" cy="665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398317</xdr:colOff>
      <xdr:row>0</xdr:row>
      <xdr:rowOff>186789</xdr:rowOff>
    </xdr:from>
    <xdr:to>
      <xdr:col>68</xdr:col>
      <xdr:colOff>17318</xdr:colOff>
      <xdr:row>16</xdr:row>
      <xdr:rowOff>305543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3BBAE4DC-8FA9-4E3D-9FA8-C514478CD9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68</xdr:col>
      <xdr:colOff>17318</xdr:colOff>
      <xdr:row>19</xdr:row>
      <xdr:rowOff>17318</xdr:rowOff>
    </xdr:from>
    <xdr:to>
      <xdr:col>81</xdr:col>
      <xdr:colOff>17318</xdr:colOff>
      <xdr:row>124</xdr:row>
      <xdr:rowOff>69274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6E9B5B59-D48F-43CD-989B-AB222B2339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362479</xdr:colOff>
      <xdr:row>3</xdr:row>
      <xdr:rowOff>15784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C72F147-1C44-4A12-B494-D62F18171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2610379" cy="663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398317</xdr:colOff>
      <xdr:row>0</xdr:row>
      <xdr:rowOff>186789</xdr:rowOff>
    </xdr:from>
    <xdr:to>
      <xdr:col>68</xdr:col>
      <xdr:colOff>17318</xdr:colOff>
      <xdr:row>16</xdr:row>
      <xdr:rowOff>305543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9E96A760-8FD3-4BFE-81C7-0F16969B65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68</xdr:col>
      <xdr:colOff>0</xdr:colOff>
      <xdr:row>18</xdr:row>
      <xdr:rowOff>588817</xdr:rowOff>
    </xdr:from>
    <xdr:to>
      <xdr:col>81</xdr:col>
      <xdr:colOff>0</xdr:colOff>
      <xdr:row>48</xdr:row>
      <xdr:rowOff>69271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504F494-B246-4CCF-89EF-B54FD11E02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8C8009B-99A9-483B-82CD-6C94D8D214EE}" name="Tabela3" displayName="Tabela3" ref="A1:B139" totalsRowShown="0" headerRowDxfId="13" headerRowBorderDxfId="12" tableBorderDxfId="11" totalsRowBorderDxfId="10">
  <autoFilter ref="A1:B139" xr:uid="{F8C8009B-99A9-483B-82CD-6C94D8D214EE}"/>
  <tableColumns count="2">
    <tableColumn id="1" xr3:uid="{6B615A83-9DDA-47AE-980A-3850F248A23D}" name="szczegółowy numer efektu uczenia się " dataDxfId="9"/>
    <tableColumn id="2" xr3:uid="{B4E4789B-188D-4837-996C-826762449E28}" name="Efekty uczenia się _x000a_po ukończeniu studiów absolwent:" dataDxfId="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03F8541-C68D-4981-8895-F6AB689B3172}" name="Tabela4" displayName="Tabela4" ref="A1:B10" totalsRowShown="0" headerRowDxfId="7">
  <autoFilter ref="A1:B10" xr:uid="{403F8541-C68D-4981-8895-F6AB689B3172}"/>
  <tableColumns count="2">
    <tableColumn id="1" xr3:uid="{618FA1D9-B8A9-42EB-B417-42B73D2510E2}" name="*kod grupy" dataDxfId="6"/>
    <tableColumn id="2" xr3:uid="{9D4D99D0-4248-43A4-AC75-4B44B95EB2BC}" name="Nazwa grupy zajęć" dataDxfId="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43E9D4A-4DAB-4A6D-AC71-3FE2BB7E8FFA}" name="Tabela5" displayName="Tabela5" ref="D1:E4" totalsRowShown="0" headerRowDxfId="4">
  <autoFilter ref="D1:E4" xr:uid="{B43E9D4A-4DAB-4A6D-AC71-3FE2BB7E8FFA}"/>
  <tableColumns count="2">
    <tableColumn id="1" xr3:uid="{D90179AB-2D8A-420F-876C-7E9A861F5BC9}" name="***Rodzaj zajęć:"/>
    <tableColumn id="2" xr3:uid="{A89F4D0D-D1B4-4245-AA25-C95F4AB1E0BE}" name="Nazwa godzaju zajęć"/>
  </tableColumns>
  <tableStyleInfo name="TableStyleMedium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5A427EA-D5CE-4C9F-A9E7-A042656E22B5}" name="Tabela6" displayName="Tabela6" ref="G1:H3" totalsRowShown="0" headerRowDxfId="3">
  <autoFilter ref="G1:H3" xr:uid="{45A427EA-D5CE-4C9F-A9E7-A042656E22B5}"/>
  <tableColumns count="2">
    <tableColumn id="1" xr3:uid="{7D67BCDD-F4D5-47A1-A28B-2A4645690711}" name="*******Forma zakończenia semestru"/>
    <tableColumn id="2" xr3:uid="{542124D4-405E-4F6D-AEC6-31B5DDF7483A}" name="Nazwa formy zakończenia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463EDC0-226A-44B1-98C6-4D77D8F27D17}" name="Tabela1" displayName="Tabela1" ref="J1:J4" totalsRowShown="0" headerRowDxfId="2">
  <autoFilter ref="J1:J4" xr:uid="{5463EDC0-226A-44B1-98C6-4D77D8F27D17}"/>
  <tableColumns count="1">
    <tableColumn id="1" xr3:uid="{82AE677E-95E3-4C2F-8148-F0BBC043E606}" name="****Pula godzin"/>
  </tableColumns>
  <tableStyleInfo name="TableStyleMedium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AD15322-9510-4034-A7F0-3E44492829FC}" name="Tabela63" displayName="Tabela63" ref="L1:M4" totalsRowShown="0" headerRowDxfId="1">
  <autoFilter ref="L1:M4" xr:uid="{CAD15322-9510-4034-A7F0-3E44492829FC}"/>
  <tableColumns count="2">
    <tableColumn id="1" xr3:uid="{2607C9C9-FC4A-49EC-A0F8-766BF49CC341}" name="******Forma zakończenia przedmiotu"/>
    <tableColumn id="2" xr3:uid="{E85EB2AB-8AD1-40BB-974B-AC6EB4EB997F}" name="Nazwa formy zakończenia"/>
  </tableColumns>
  <tableStyleInfo name="TableStyleMedium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14A61F2-3B11-4E4C-90F3-427AA7F491FD}" name="Tabela711" displayName="Tabela711" ref="O1:O3" totalsRowShown="0" headerRowDxfId="0">
  <autoFilter ref="O1:O3" xr:uid="{514A61F2-3B11-4E4C-90F3-427AA7F491FD}"/>
  <tableColumns count="1">
    <tableColumn id="1" xr3:uid="{779EC1BF-C04D-4970-94B2-EBD21D9011D4}" name="*Czy przedmiot kształtuje kompetencje komunikacyjne_x000a_*Czy przedmiot humanistyczny lub społeczny_x000a_*Czy przedmiot  związany z prowadzoną w uczelni działalnością naukową_x000a_*Czy zajęcia kształtują umiejętności praktyczne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ED7CF-DF51-43BF-A344-502F574B04B6}">
  <sheetPr codeName="Arkusz1"/>
  <dimension ref="A3:CM206"/>
  <sheetViews>
    <sheetView tabSelected="1" zoomScale="55" zoomScaleNormal="55" workbookViewId="0">
      <pane xSplit="22" ySplit="19" topLeftCell="W20" activePane="bottomRight" state="frozen"/>
      <selection activeCell="M31" sqref="M31"/>
      <selection pane="topRight" activeCell="M31" sqref="M31"/>
      <selection pane="bottomLeft" activeCell="M31" sqref="M31"/>
      <selection pane="bottomRight" activeCell="S20" sqref="S20"/>
    </sheetView>
  </sheetViews>
  <sheetFormatPr defaultColWidth="8.85546875" defaultRowHeight="15" x14ac:dyDescent="0.25"/>
  <cols>
    <col min="1" max="1" width="5.42578125" customWidth="1"/>
    <col min="2" max="2" width="6.7109375" customWidth="1"/>
    <col min="3" max="3" width="12.7109375" customWidth="1"/>
    <col min="4" max="4" width="6.7109375" customWidth="1"/>
    <col min="5" max="5" width="6.7109375" style="8" customWidth="1"/>
    <col min="6" max="6" width="13.28515625" customWidth="1"/>
    <col min="7" max="7" width="7.140625" customWidth="1"/>
    <col min="8" max="8" width="14.85546875" style="4" customWidth="1"/>
    <col min="9" max="9" width="30.42578125" style="4" customWidth="1"/>
    <col min="10" max="10" width="6.85546875" style="4" customWidth="1"/>
    <col min="11" max="12" width="5.7109375" style="4" customWidth="1"/>
    <col min="13" max="13" width="14.42578125" style="4" customWidth="1"/>
    <col min="14" max="14" width="12" customWidth="1"/>
    <col min="15" max="15" width="6.85546875" style="4" customWidth="1"/>
    <col min="16" max="16" width="8.85546875" style="4" customWidth="1"/>
    <col min="17" max="17" width="13.85546875" style="4" customWidth="1"/>
    <col min="18" max="18" width="10.42578125" style="17" customWidth="1"/>
    <col min="19" max="19" width="16.140625" style="17" customWidth="1"/>
    <col min="20" max="20" width="10.42578125" style="4" customWidth="1"/>
    <col min="21" max="21" width="10" style="4" customWidth="1"/>
    <col min="22" max="22" width="6.42578125" style="4" customWidth="1"/>
    <col min="23" max="23" width="5.7109375" customWidth="1"/>
    <col min="24" max="24" width="7.7109375" customWidth="1"/>
    <col min="25" max="25" width="8.42578125" customWidth="1"/>
    <col min="26" max="26" width="8.28515625" customWidth="1"/>
    <col min="27" max="27" width="7.85546875" customWidth="1"/>
    <col min="28" max="29" width="7.42578125" style="263" customWidth="1"/>
    <col min="30" max="30" width="5.85546875" style="263" customWidth="1"/>
    <col min="31" max="31" width="9.28515625" style="263" customWidth="1"/>
    <col min="32" max="32" width="8.42578125" style="263" customWidth="1"/>
    <col min="33" max="35" width="7.28515625" style="263" customWidth="1"/>
    <col min="36" max="43" width="5.7109375" style="263" customWidth="1"/>
    <col min="44" max="45" width="7" style="263" customWidth="1"/>
    <col min="46" max="46" width="5.7109375" customWidth="1"/>
    <col min="47" max="48" width="7.140625" customWidth="1"/>
    <col min="49" max="49" width="6.140625" customWidth="1"/>
    <col min="50" max="50" width="6.28515625" customWidth="1"/>
    <col min="51" max="52" width="6.85546875" style="263" bestFit="1" customWidth="1"/>
    <col min="53" max="54" width="5.7109375" style="263" customWidth="1"/>
    <col min="55" max="55" width="6.42578125" style="263" customWidth="1"/>
    <col min="56" max="56" width="4" style="263" customWidth="1"/>
    <col min="57" max="58" width="7.140625" style="263" customWidth="1"/>
    <col min="59" max="59" width="5.7109375" style="263" customWidth="1"/>
    <col min="60" max="60" width="6.7109375" style="263" customWidth="1"/>
    <col min="61" max="66" width="5.7109375" style="263" customWidth="1"/>
    <col min="67" max="68" width="6.7109375" style="263" customWidth="1"/>
    <col min="69" max="69" width="12.85546875" style="5" customWidth="1"/>
    <col min="70" max="70" width="28.85546875" style="4" customWidth="1"/>
    <col min="87" max="88" width="8.85546875" customWidth="1"/>
  </cols>
  <sheetData>
    <row r="3" spans="1:91" x14ac:dyDescent="0.25">
      <c r="M3" s="4">
        <f>300*25</f>
        <v>7500</v>
      </c>
      <c r="N3" t="s">
        <v>589</v>
      </c>
      <c r="R3" s="4" t="s">
        <v>592</v>
      </c>
    </row>
    <row r="4" spans="1:91" x14ac:dyDescent="0.25">
      <c r="M4" s="4">
        <f>M3/2</f>
        <v>3750</v>
      </c>
      <c r="N4" t="s">
        <v>588</v>
      </c>
    </row>
    <row r="5" spans="1:91" ht="18.75" hidden="1" x14ac:dyDescent="0.3">
      <c r="G5" s="29" t="s">
        <v>23</v>
      </c>
      <c r="H5" s="28"/>
      <c r="I5" s="73" t="s">
        <v>442</v>
      </c>
      <c r="M5" s="94"/>
    </row>
    <row r="6" spans="1:91" ht="18.75" hidden="1" x14ac:dyDescent="0.3">
      <c r="G6" s="29" t="s">
        <v>24</v>
      </c>
      <c r="H6" s="28"/>
      <c r="I6" s="3" t="s">
        <v>439</v>
      </c>
      <c r="M6" s="94"/>
      <c r="AM6" s="267" t="s">
        <v>26</v>
      </c>
    </row>
    <row r="7" spans="1:91" hidden="1" x14ac:dyDescent="0.25">
      <c r="G7" s="23" t="s">
        <v>27</v>
      </c>
      <c r="H7" s="24"/>
      <c r="I7" s="73" t="s">
        <v>440</v>
      </c>
      <c r="J7" s="9"/>
      <c r="K7" s="9"/>
      <c r="L7" s="9"/>
      <c r="AN7" s="263" t="s">
        <v>22</v>
      </c>
    </row>
    <row r="8" spans="1:91" ht="18.75" hidden="1" x14ac:dyDescent="0.3">
      <c r="G8" s="23" t="s">
        <v>44</v>
      </c>
      <c r="H8" s="24"/>
      <c r="I8" s="3" t="s">
        <v>441</v>
      </c>
      <c r="M8" s="94"/>
      <c r="AW8" t="s">
        <v>0</v>
      </c>
    </row>
    <row r="9" spans="1:91" hidden="1" x14ac:dyDescent="0.25">
      <c r="G9" s="23" t="s">
        <v>46</v>
      </c>
      <c r="H9" s="24"/>
      <c r="I9" s="259" t="s">
        <v>497</v>
      </c>
      <c r="AW9" t="s">
        <v>45</v>
      </c>
    </row>
    <row r="10" spans="1:91" ht="18.75" hidden="1" x14ac:dyDescent="0.3">
      <c r="G10" s="23" t="s">
        <v>25</v>
      </c>
      <c r="H10" s="24"/>
      <c r="I10" s="3" t="s">
        <v>138</v>
      </c>
      <c r="M10" s="94"/>
      <c r="O10" s="9"/>
      <c r="P10" s="9"/>
      <c r="Q10" s="9"/>
      <c r="R10" s="18"/>
      <c r="S10" s="18"/>
      <c r="T10" s="9"/>
      <c r="U10" s="9"/>
      <c r="V10" s="9"/>
    </row>
    <row r="11" spans="1:91" hidden="1" x14ac:dyDescent="0.25">
      <c r="G11" s="2" t="s">
        <v>47</v>
      </c>
      <c r="H11" s="24"/>
      <c r="I11" s="24">
        <v>10</v>
      </c>
      <c r="J11" s="10"/>
      <c r="K11" s="10"/>
      <c r="L11" s="10"/>
    </row>
    <row r="12" spans="1:91" hidden="1" x14ac:dyDescent="0.25">
      <c r="G12" s="2" t="s">
        <v>48</v>
      </c>
      <c r="H12" s="24"/>
      <c r="I12" s="74"/>
      <c r="J12" s="195"/>
      <c r="K12" s="195"/>
      <c r="L12" s="195"/>
    </row>
    <row r="13" spans="1:91" hidden="1" x14ac:dyDescent="0.25">
      <c r="G13" s="2" t="s">
        <v>49</v>
      </c>
      <c r="H13" s="24"/>
      <c r="I13" s="24">
        <v>300</v>
      </c>
      <c r="J13" s="10"/>
      <c r="K13" s="10"/>
      <c r="L13" s="10"/>
    </row>
    <row r="14" spans="1:91" ht="15.75" thickBot="1" x14ac:dyDescent="0.3">
      <c r="M14" s="508">
        <v>960</v>
      </c>
      <c r="N14" t="s">
        <v>593</v>
      </c>
      <c r="O14" s="10"/>
      <c r="P14" s="10"/>
      <c r="Q14" s="10"/>
      <c r="R14" s="26" t="s">
        <v>594</v>
      </c>
      <c r="S14" s="27"/>
      <c r="T14" s="10"/>
      <c r="U14" s="10"/>
      <c r="V14" s="10"/>
    </row>
    <row r="15" spans="1:91" ht="24" customHeight="1" thickBot="1" x14ac:dyDescent="0.3">
      <c r="A15" s="1269" t="s">
        <v>1</v>
      </c>
      <c r="B15" s="1276" t="s">
        <v>40</v>
      </c>
      <c r="C15" s="1274" t="s">
        <v>50</v>
      </c>
      <c r="D15" s="1274" t="s">
        <v>51</v>
      </c>
      <c r="E15" s="1274" t="s">
        <v>32</v>
      </c>
      <c r="F15" s="1274" t="s">
        <v>33</v>
      </c>
      <c r="G15" s="1274" t="s">
        <v>52</v>
      </c>
      <c r="H15" s="1276" t="s">
        <v>104</v>
      </c>
      <c r="I15" s="1274" t="s">
        <v>2</v>
      </c>
      <c r="J15" s="1276" t="s">
        <v>415</v>
      </c>
      <c r="K15" s="1274" t="s">
        <v>416</v>
      </c>
      <c r="L15" s="1274" t="s">
        <v>750</v>
      </c>
      <c r="M15" s="1282" t="s">
        <v>28</v>
      </c>
      <c r="N15" s="1282"/>
      <c r="O15" s="1282"/>
      <c r="P15" s="1282"/>
      <c r="Q15" s="1282"/>
      <c r="R15" s="1282"/>
      <c r="S15" s="1282"/>
      <c r="T15" s="1282"/>
      <c r="U15" s="1282"/>
      <c r="V15" s="1283"/>
      <c r="W15" s="1282" t="s">
        <v>3</v>
      </c>
      <c r="X15" s="1282"/>
      <c r="Y15" s="1282"/>
      <c r="Z15" s="1282"/>
      <c r="AA15" s="1282"/>
      <c r="AB15" s="1282"/>
      <c r="AC15" s="1282"/>
      <c r="AD15" s="1282"/>
      <c r="AE15" s="1282"/>
      <c r="AF15" s="1282"/>
      <c r="AG15" s="1282"/>
      <c r="AH15" s="1282"/>
      <c r="AI15" s="1282"/>
      <c r="AJ15" s="1282"/>
      <c r="AK15" s="1282"/>
      <c r="AL15" s="1282"/>
      <c r="AM15" s="1282"/>
      <c r="AN15" s="1282"/>
      <c r="AO15" s="1282"/>
      <c r="AP15" s="1282"/>
      <c r="AQ15" s="1282"/>
      <c r="AR15" s="1282"/>
      <c r="AS15" s="1282"/>
      <c r="AT15" s="1243" t="s">
        <v>4</v>
      </c>
      <c r="AU15" s="1244"/>
      <c r="AV15" s="1244"/>
      <c r="AW15" s="1244"/>
      <c r="AX15" s="1244"/>
      <c r="AY15" s="1244"/>
      <c r="AZ15" s="1244"/>
      <c r="BA15" s="1244"/>
      <c r="BB15" s="1244"/>
      <c r="BC15" s="1244"/>
      <c r="BD15" s="1244"/>
      <c r="BE15" s="1244"/>
      <c r="BF15" s="1244"/>
      <c r="BG15" s="1244"/>
      <c r="BH15" s="1244"/>
      <c r="BI15" s="1244"/>
      <c r="BJ15" s="1244"/>
      <c r="BK15" s="1244"/>
      <c r="BL15" s="1244"/>
      <c r="BM15" s="1244"/>
      <c r="BN15" s="1244"/>
      <c r="BO15" s="1244"/>
      <c r="BP15" s="1245"/>
      <c r="BQ15" s="1306" t="s">
        <v>58</v>
      </c>
      <c r="BR15" s="1307"/>
      <c r="BS15" s="1147" t="s">
        <v>757</v>
      </c>
      <c r="BT15" s="1148"/>
      <c r="BU15" s="1148"/>
      <c r="BV15" s="1148"/>
      <c r="BW15" s="1148"/>
      <c r="BX15" s="1148"/>
      <c r="BY15" s="1149"/>
      <c r="BZ15" s="1150" t="s">
        <v>758</v>
      </c>
      <c r="CA15" s="1151"/>
      <c r="CB15" s="1151"/>
      <c r="CC15" s="1151"/>
      <c r="CD15" s="1151"/>
      <c r="CE15" s="1151"/>
      <c r="CF15" s="1152"/>
      <c r="CG15" s="1153" t="s">
        <v>759</v>
      </c>
      <c r="CH15" s="1153"/>
      <c r="CI15" s="1154" t="s">
        <v>760</v>
      </c>
      <c r="CJ15" s="1155"/>
      <c r="CK15" s="1293" t="s">
        <v>127</v>
      </c>
      <c r="CL15" s="1293"/>
      <c r="CM15" s="1293"/>
    </row>
    <row r="16" spans="1:91" ht="46.5" customHeight="1" x14ac:dyDescent="0.25">
      <c r="A16" s="1270"/>
      <c r="B16" s="1277"/>
      <c r="C16" s="1275"/>
      <c r="D16" s="1275"/>
      <c r="E16" s="1275"/>
      <c r="F16" s="1275"/>
      <c r="G16" s="1275"/>
      <c r="H16" s="1277"/>
      <c r="I16" s="1275"/>
      <c r="J16" s="1277"/>
      <c r="K16" s="1275"/>
      <c r="L16" s="1275"/>
      <c r="M16" s="1304" t="s">
        <v>69</v>
      </c>
      <c r="N16" s="1304"/>
      <c r="O16" s="1304"/>
      <c r="P16" s="1305"/>
      <c r="Q16" s="1302" t="s">
        <v>5</v>
      </c>
      <c r="R16" s="1303"/>
      <c r="S16" s="1303"/>
      <c r="T16" s="1303"/>
      <c r="U16" s="1303"/>
      <c r="V16" s="1201" t="s">
        <v>419</v>
      </c>
      <c r="W16" s="1250" t="s">
        <v>420</v>
      </c>
      <c r="X16" s="1248" t="s">
        <v>19</v>
      </c>
      <c r="Y16" s="1265" t="s">
        <v>73</v>
      </c>
      <c r="Z16" s="1203" t="s">
        <v>18</v>
      </c>
      <c r="AA16" s="1252" t="s">
        <v>17</v>
      </c>
      <c r="AB16" s="1254" t="s">
        <v>6</v>
      </c>
      <c r="AC16" s="1255"/>
      <c r="AD16" s="1267" t="s">
        <v>7</v>
      </c>
      <c r="AE16" s="1246" t="s">
        <v>8</v>
      </c>
      <c r="AF16" s="1267" t="s">
        <v>9</v>
      </c>
      <c r="AG16" s="1260" t="s">
        <v>421</v>
      </c>
      <c r="AH16" s="1261"/>
      <c r="AI16" s="1262"/>
      <c r="AJ16" s="1267" t="s">
        <v>10</v>
      </c>
      <c r="AK16" s="1246" t="s">
        <v>11</v>
      </c>
      <c r="AL16" s="1246" t="s">
        <v>12</v>
      </c>
      <c r="AM16" s="1246" t="s">
        <v>13</v>
      </c>
      <c r="AN16" s="1246" t="s">
        <v>14</v>
      </c>
      <c r="AO16" s="1246" t="s">
        <v>15</v>
      </c>
      <c r="AP16" s="1246" t="s">
        <v>54</v>
      </c>
      <c r="AQ16" s="1246" t="s">
        <v>16</v>
      </c>
      <c r="AR16" s="1205" t="s">
        <v>55</v>
      </c>
      <c r="AS16" s="1207" t="s">
        <v>67</v>
      </c>
      <c r="AT16" s="1263" t="s">
        <v>420</v>
      </c>
      <c r="AU16" s="1248" t="s">
        <v>19</v>
      </c>
      <c r="AV16" s="1265" t="s">
        <v>29</v>
      </c>
      <c r="AW16" s="1203" t="s">
        <v>18</v>
      </c>
      <c r="AX16" s="1252" t="s">
        <v>17</v>
      </c>
      <c r="AY16" s="1254" t="s">
        <v>6</v>
      </c>
      <c r="AZ16" s="1255"/>
      <c r="BA16" s="1267" t="s">
        <v>7</v>
      </c>
      <c r="BB16" s="1246" t="s">
        <v>20</v>
      </c>
      <c r="BC16" s="1246" t="s">
        <v>9</v>
      </c>
      <c r="BD16" s="1260" t="s">
        <v>421</v>
      </c>
      <c r="BE16" s="1261"/>
      <c r="BF16" s="1262"/>
      <c r="BG16" s="1267" t="s">
        <v>10</v>
      </c>
      <c r="BH16" s="1246" t="s">
        <v>11</v>
      </c>
      <c r="BI16" s="1246" t="s">
        <v>12</v>
      </c>
      <c r="BJ16" s="1246" t="s">
        <v>13</v>
      </c>
      <c r="BK16" s="1246" t="s">
        <v>14</v>
      </c>
      <c r="BL16" s="1246" t="s">
        <v>15</v>
      </c>
      <c r="BM16" s="1246" t="s">
        <v>54</v>
      </c>
      <c r="BN16" s="1246" t="s">
        <v>16</v>
      </c>
      <c r="BO16" s="1256" t="s">
        <v>55</v>
      </c>
      <c r="BP16" s="1258" t="s">
        <v>67</v>
      </c>
      <c r="BQ16" s="1308"/>
      <c r="BR16" s="1309"/>
      <c r="BS16" s="1156" t="s">
        <v>761</v>
      </c>
      <c r="BT16" s="1159" t="s">
        <v>762</v>
      </c>
      <c r="BU16" s="1162" t="s">
        <v>763</v>
      </c>
      <c r="BV16" s="1159" t="s">
        <v>764</v>
      </c>
      <c r="BW16" s="1162" t="s">
        <v>765</v>
      </c>
      <c r="BX16" s="1159" t="s">
        <v>766</v>
      </c>
      <c r="BY16" s="1165" t="s">
        <v>767</v>
      </c>
      <c r="BZ16" s="1168" t="s">
        <v>761</v>
      </c>
      <c r="CA16" s="1171" t="s">
        <v>762</v>
      </c>
      <c r="CB16" s="1171" t="s">
        <v>763</v>
      </c>
      <c r="CC16" s="1171" t="s">
        <v>764</v>
      </c>
      <c r="CD16" s="1171" t="s">
        <v>765</v>
      </c>
      <c r="CE16" s="1171" t="s">
        <v>766</v>
      </c>
      <c r="CF16" s="1174" t="s">
        <v>767</v>
      </c>
      <c r="CG16" s="1177" t="s">
        <v>768</v>
      </c>
      <c r="CH16" s="1180" t="s">
        <v>769</v>
      </c>
      <c r="CI16" s="1137" t="s">
        <v>768</v>
      </c>
      <c r="CJ16" s="1140" t="s">
        <v>769</v>
      </c>
      <c r="CK16" s="1293"/>
      <c r="CL16" s="1293"/>
      <c r="CM16" s="1293"/>
    </row>
    <row r="17" spans="1:91" ht="78.75" customHeight="1" x14ac:dyDescent="0.25">
      <c r="A17" s="1270"/>
      <c r="B17" s="1277"/>
      <c r="C17" s="1275"/>
      <c r="D17" s="1275"/>
      <c r="E17" s="1275"/>
      <c r="F17" s="1275"/>
      <c r="G17" s="1275"/>
      <c r="H17" s="1277"/>
      <c r="I17" s="1275"/>
      <c r="J17" s="1277"/>
      <c r="K17" s="1275"/>
      <c r="L17" s="1275"/>
      <c r="M17" s="188" t="s">
        <v>71</v>
      </c>
      <c r="N17" s="12" t="s">
        <v>68</v>
      </c>
      <c r="O17" s="13" t="s">
        <v>72</v>
      </c>
      <c r="P17" s="411" t="s">
        <v>70</v>
      </c>
      <c r="Q17" s="15" t="s">
        <v>66</v>
      </c>
      <c r="R17" s="19" t="s">
        <v>77</v>
      </c>
      <c r="S17" s="68" t="s">
        <v>751</v>
      </c>
      <c r="T17" s="16" t="s">
        <v>83</v>
      </c>
      <c r="U17" s="14" t="s">
        <v>84</v>
      </c>
      <c r="V17" s="1202"/>
      <c r="W17" s="1251"/>
      <c r="X17" s="1249"/>
      <c r="Y17" s="1266"/>
      <c r="Z17" s="1204"/>
      <c r="AA17" s="1253"/>
      <c r="AB17" s="264" t="s">
        <v>64</v>
      </c>
      <c r="AC17" s="268" t="s">
        <v>65</v>
      </c>
      <c r="AD17" s="1268"/>
      <c r="AE17" s="1247"/>
      <c r="AF17" s="1268"/>
      <c r="AG17" s="269" t="s">
        <v>61</v>
      </c>
      <c r="AH17" s="269" t="s">
        <v>62</v>
      </c>
      <c r="AI17" s="269" t="s">
        <v>63</v>
      </c>
      <c r="AJ17" s="1268"/>
      <c r="AK17" s="1247"/>
      <c r="AL17" s="1247"/>
      <c r="AM17" s="1247"/>
      <c r="AN17" s="1247"/>
      <c r="AO17" s="1247"/>
      <c r="AP17" s="1247"/>
      <c r="AQ17" s="1247"/>
      <c r="AR17" s="1206"/>
      <c r="AS17" s="1208"/>
      <c r="AT17" s="1264"/>
      <c r="AU17" s="1249"/>
      <c r="AV17" s="1266"/>
      <c r="AW17" s="1204"/>
      <c r="AX17" s="1253"/>
      <c r="AY17" s="264" t="s">
        <v>64</v>
      </c>
      <c r="AZ17" s="268" t="s">
        <v>65</v>
      </c>
      <c r="BA17" s="1268"/>
      <c r="BB17" s="1247"/>
      <c r="BC17" s="1247"/>
      <c r="BD17" s="269" t="s">
        <v>61</v>
      </c>
      <c r="BE17" s="269" t="s">
        <v>62</v>
      </c>
      <c r="BF17" s="269" t="s">
        <v>63</v>
      </c>
      <c r="BG17" s="1268"/>
      <c r="BH17" s="1247"/>
      <c r="BI17" s="1247"/>
      <c r="BJ17" s="1247"/>
      <c r="BK17" s="1247"/>
      <c r="BL17" s="1247"/>
      <c r="BM17" s="1247"/>
      <c r="BN17" s="1247"/>
      <c r="BO17" s="1257"/>
      <c r="BP17" s="1259"/>
      <c r="BQ17" s="11" t="s">
        <v>31</v>
      </c>
      <c r="BR17" s="207" t="s">
        <v>30</v>
      </c>
      <c r="BS17" s="1157"/>
      <c r="BT17" s="1160"/>
      <c r="BU17" s="1163"/>
      <c r="BV17" s="1160"/>
      <c r="BW17" s="1163"/>
      <c r="BX17" s="1160"/>
      <c r="BY17" s="1166"/>
      <c r="BZ17" s="1169"/>
      <c r="CA17" s="1172"/>
      <c r="CB17" s="1172"/>
      <c r="CC17" s="1172"/>
      <c r="CD17" s="1172"/>
      <c r="CE17" s="1172"/>
      <c r="CF17" s="1175"/>
      <c r="CG17" s="1178"/>
      <c r="CH17" s="1181"/>
      <c r="CI17" s="1138"/>
      <c r="CJ17" s="1141"/>
      <c r="CK17" s="1294" t="s">
        <v>124</v>
      </c>
      <c r="CL17" s="1295" t="s">
        <v>125</v>
      </c>
      <c r="CM17" s="1296" t="s">
        <v>126</v>
      </c>
    </row>
    <row r="18" spans="1:91" s="92" customFormat="1" ht="13.5" customHeight="1" x14ac:dyDescent="0.25">
      <c r="A18" s="1273"/>
      <c r="B18" s="1271"/>
      <c r="C18" s="1271"/>
      <c r="D18" s="1271"/>
      <c r="E18" s="1271"/>
      <c r="F18" s="1271"/>
      <c r="G18" s="1271"/>
      <c r="H18" s="107"/>
      <c r="I18" s="1271"/>
      <c r="J18" s="1277"/>
      <c r="K18" s="1275"/>
      <c r="L18" s="1275"/>
      <c r="M18" s="189">
        <v>1</v>
      </c>
      <c r="N18" s="108">
        <v>2</v>
      </c>
      <c r="O18" s="109">
        <v>3</v>
      </c>
      <c r="P18" s="412">
        <v>4</v>
      </c>
      <c r="Q18" s="110">
        <v>5</v>
      </c>
      <c r="R18" s="111">
        <v>6</v>
      </c>
      <c r="S18" s="111">
        <v>7</v>
      </c>
      <c r="T18" s="112">
        <v>8</v>
      </c>
      <c r="U18" s="113">
        <v>9</v>
      </c>
      <c r="V18" s="1310">
        <v>10</v>
      </c>
      <c r="W18" s="1218">
        <v>11</v>
      </c>
      <c r="X18" s="196">
        <v>12</v>
      </c>
      <c r="Y18" s="114">
        <v>13</v>
      </c>
      <c r="Z18" s="115">
        <v>14</v>
      </c>
      <c r="AA18" s="416">
        <v>15</v>
      </c>
      <c r="AB18" s="1297">
        <v>16</v>
      </c>
      <c r="AC18" s="270">
        <v>17</v>
      </c>
      <c r="AD18" s="1195">
        <v>18</v>
      </c>
      <c r="AE18" s="1195">
        <v>19</v>
      </c>
      <c r="AF18" s="1195">
        <v>20</v>
      </c>
      <c r="AG18" s="271">
        <v>21</v>
      </c>
      <c r="AH18" s="1195">
        <v>22</v>
      </c>
      <c r="AI18" s="1195">
        <v>23</v>
      </c>
      <c r="AJ18" s="1195">
        <v>24</v>
      </c>
      <c r="AK18" s="1195">
        <v>25</v>
      </c>
      <c r="AL18" s="1195">
        <v>26</v>
      </c>
      <c r="AM18" s="1195">
        <v>27</v>
      </c>
      <c r="AN18" s="1195">
        <v>28</v>
      </c>
      <c r="AO18" s="1195">
        <v>29</v>
      </c>
      <c r="AP18" s="1195">
        <v>30</v>
      </c>
      <c r="AQ18" s="1195">
        <v>31</v>
      </c>
      <c r="AR18" s="1216">
        <v>32</v>
      </c>
      <c r="AS18" s="1284">
        <v>33</v>
      </c>
      <c r="AT18" s="1197">
        <v>34</v>
      </c>
      <c r="AU18" s="1199">
        <v>35</v>
      </c>
      <c r="AV18" s="116">
        <v>36</v>
      </c>
      <c r="AW18" s="115">
        <v>37</v>
      </c>
      <c r="AX18" s="429">
        <v>38</v>
      </c>
      <c r="AY18" s="1195">
        <v>39</v>
      </c>
      <c r="AZ18" s="270">
        <v>40</v>
      </c>
      <c r="BA18" s="1195">
        <v>41</v>
      </c>
      <c r="BB18" s="1195">
        <v>42</v>
      </c>
      <c r="BC18" s="1195">
        <v>43</v>
      </c>
      <c r="BD18" s="1280">
        <v>44</v>
      </c>
      <c r="BE18" s="1278">
        <v>45</v>
      </c>
      <c r="BF18" s="288">
        <v>46</v>
      </c>
      <c r="BG18" s="1195">
        <v>47</v>
      </c>
      <c r="BH18" s="1195">
        <v>48</v>
      </c>
      <c r="BI18" s="1195">
        <v>49</v>
      </c>
      <c r="BJ18" s="1195">
        <v>50</v>
      </c>
      <c r="BK18" s="1195">
        <v>51</v>
      </c>
      <c r="BL18" s="1195">
        <v>52</v>
      </c>
      <c r="BM18" s="1195">
        <v>53</v>
      </c>
      <c r="BN18" s="1195">
        <v>54</v>
      </c>
      <c r="BO18" s="1216">
        <v>55</v>
      </c>
      <c r="BP18" s="1214">
        <v>56</v>
      </c>
      <c r="BQ18" s="213" t="s">
        <v>112</v>
      </c>
      <c r="BR18" s="1212" t="s">
        <v>113</v>
      </c>
      <c r="BS18" s="1157"/>
      <c r="BT18" s="1160"/>
      <c r="BU18" s="1163"/>
      <c r="BV18" s="1160"/>
      <c r="BW18" s="1163"/>
      <c r="BX18" s="1160"/>
      <c r="BY18" s="1166"/>
      <c r="BZ18" s="1169"/>
      <c r="CA18" s="1172"/>
      <c r="CB18" s="1172"/>
      <c r="CC18" s="1172"/>
      <c r="CD18" s="1172"/>
      <c r="CE18" s="1172"/>
      <c r="CF18" s="1175"/>
      <c r="CG18" s="1178"/>
      <c r="CH18" s="1181"/>
      <c r="CI18" s="1138"/>
      <c r="CJ18" s="1141"/>
      <c r="CK18" s="1294"/>
      <c r="CL18" s="1295"/>
      <c r="CM18" s="1296"/>
    </row>
    <row r="19" spans="1:91" s="92" customFormat="1" ht="46.5" customHeight="1" thickBot="1" x14ac:dyDescent="0.3">
      <c r="A19" s="1273"/>
      <c r="B19" s="1272"/>
      <c r="C19" s="1272"/>
      <c r="D19" s="1272"/>
      <c r="E19" s="1272"/>
      <c r="F19" s="1272"/>
      <c r="G19" s="1272"/>
      <c r="H19" s="117"/>
      <c r="I19" s="1272"/>
      <c r="J19" s="1291"/>
      <c r="K19" s="1292"/>
      <c r="L19" s="1292"/>
      <c r="M19" s="190" t="s">
        <v>85</v>
      </c>
      <c r="N19" s="100" t="s">
        <v>114</v>
      </c>
      <c r="O19" s="101" t="s">
        <v>86</v>
      </c>
      <c r="P19" s="413" t="s">
        <v>115</v>
      </c>
      <c r="Q19" s="98" t="s">
        <v>74</v>
      </c>
      <c r="R19" s="102" t="s">
        <v>116</v>
      </c>
      <c r="S19" s="495" t="s">
        <v>975</v>
      </c>
      <c r="T19" s="103" t="s">
        <v>117</v>
      </c>
      <c r="U19" s="104" t="s">
        <v>974</v>
      </c>
      <c r="V19" s="1311"/>
      <c r="W19" s="1219"/>
      <c r="X19" s="197"/>
      <c r="Y19" s="105" t="s">
        <v>118</v>
      </c>
      <c r="Z19" s="106" t="s">
        <v>119</v>
      </c>
      <c r="AA19" s="417" t="s">
        <v>120</v>
      </c>
      <c r="AB19" s="1298"/>
      <c r="AC19" s="272"/>
      <c r="AD19" s="1196"/>
      <c r="AE19" s="1196"/>
      <c r="AF19" s="1196"/>
      <c r="AG19" s="273"/>
      <c r="AH19" s="1196"/>
      <c r="AI19" s="1196"/>
      <c r="AJ19" s="1196"/>
      <c r="AK19" s="1196"/>
      <c r="AL19" s="1196"/>
      <c r="AM19" s="1196"/>
      <c r="AN19" s="1196"/>
      <c r="AO19" s="1196"/>
      <c r="AP19" s="1196"/>
      <c r="AQ19" s="1196"/>
      <c r="AR19" s="1217"/>
      <c r="AS19" s="1285"/>
      <c r="AT19" s="1198"/>
      <c r="AU19" s="1200"/>
      <c r="AV19" s="99" t="s">
        <v>121</v>
      </c>
      <c r="AW19" s="106" t="s">
        <v>122</v>
      </c>
      <c r="AX19" s="430" t="s">
        <v>123</v>
      </c>
      <c r="AY19" s="1196"/>
      <c r="AZ19" s="272"/>
      <c r="BA19" s="1196"/>
      <c r="BB19" s="1196"/>
      <c r="BC19" s="1196"/>
      <c r="BD19" s="1281"/>
      <c r="BE19" s="1279"/>
      <c r="BF19" s="289"/>
      <c r="BG19" s="1196"/>
      <c r="BH19" s="1196"/>
      <c r="BI19" s="1196"/>
      <c r="BJ19" s="1196"/>
      <c r="BK19" s="1196"/>
      <c r="BL19" s="1196"/>
      <c r="BM19" s="1196"/>
      <c r="BN19" s="1196"/>
      <c r="BO19" s="1217"/>
      <c r="BP19" s="1215"/>
      <c r="BQ19" s="214" t="s">
        <v>87</v>
      </c>
      <c r="BR19" s="1213"/>
      <c r="BS19" s="1158"/>
      <c r="BT19" s="1161"/>
      <c r="BU19" s="1164"/>
      <c r="BV19" s="1161"/>
      <c r="BW19" s="1164"/>
      <c r="BX19" s="1161"/>
      <c r="BY19" s="1167"/>
      <c r="BZ19" s="1170"/>
      <c r="CA19" s="1173"/>
      <c r="CB19" s="1173"/>
      <c r="CC19" s="1173"/>
      <c r="CD19" s="1173"/>
      <c r="CE19" s="1173"/>
      <c r="CF19" s="1176"/>
      <c r="CG19" s="1179"/>
      <c r="CH19" s="1182"/>
      <c r="CI19" s="1139"/>
      <c r="CJ19" s="1142"/>
      <c r="CK19" s="1294"/>
      <c r="CL19" s="1295"/>
      <c r="CM19" s="1296"/>
    </row>
    <row r="20" spans="1:91" s="44" customFormat="1" ht="38.25" customHeight="1" x14ac:dyDescent="0.25">
      <c r="A20" s="46">
        <v>1</v>
      </c>
      <c r="B20" s="79"/>
      <c r="C20" s="32" t="s">
        <v>107</v>
      </c>
      <c r="D20" s="80"/>
      <c r="E20" s="79">
        <v>1</v>
      </c>
      <c r="F20" s="32" t="s">
        <v>107</v>
      </c>
      <c r="G20" s="32" t="s">
        <v>59</v>
      </c>
      <c r="H20" s="81"/>
      <c r="I20" s="1096" t="s">
        <v>645</v>
      </c>
      <c r="J20" s="122"/>
      <c r="K20" s="122"/>
      <c r="L20" s="122" t="s">
        <v>418</v>
      </c>
      <c r="M20" s="191">
        <f t="shared" ref="M20:M30" si="0">Y20+AV20</f>
        <v>100</v>
      </c>
      <c r="N20" s="75">
        <f t="shared" ref="N20:N30" si="1">AS20+BP20</f>
        <v>40</v>
      </c>
      <c r="O20" s="82">
        <f t="shared" ref="O20:O30" si="2">Z20+AW20</f>
        <v>60</v>
      </c>
      <c r="P20" s="414">
        <f t="shared" ref="P20:P30" si="3">AA20+AX20</f>
        <v>60</v>
      </c>
      <c r="Q20" s="83">
        <f t="shared" ref="Q20:Q30" si="4">X20+AU20</f>
        <v>4</v>
      </c>
      <c r="R20" s="84">
        <f>IFERROR((AL20+BI20)*Q20/O20," ")</f>
        <v>0</v>
      </c>
      <c r="S20" s="38">
        <f>IFERROR(IF(L20="tak",(SUM(AE20:AL20,AQ20,BB20:BI20,BN20))*Q20/O20,0),0)</f>
        <v>0</v>
      </c>
      <c r="T20" s="85">
        <f>IFERROR((AC20+AO20+AZ20+BL20)*Q20/O20," ")</f>
        <v>1</v>
      </c>
      <c r="U20" s="86">
        <f>IFERROR((SUM(AB20,AD20:AN20,AY20,BA20:BK20,AP20:AQ20,BM20:BN20)*Q20/M20)," ")</f>
        <v>2.4</v>
      </c>
      <c r="V20" s="198" t="s">
        <v>56</v>
      </c>
      <c r="W20" s="199" t="s">
        <v>99</v>
      </c>
      <c r="X20" s="200"/>
      <c r="Y20" s="87">
        <f t="shared" ref="Y20:Y30" si="5">AS20+Z20</f>
        <v>0</v>
      </c>
      <c r="Z20" s="88">
        <f t="shared" ref="Z20:Z30" si="6">AR20+AA20</f>
        <v>0</v>
      </c>
      <c r="AA20" s="418">
        <f t="shared" ref="AA20:AA30" si="7">(SUM(AB20:AQ20))-AC20</f>
        <v>0</v>
      </c>
      <c r="AB20" s="261"/>
      <c r="AC20" s="274"/>
      <c r="AD20" s="266"/>
      <c r="AE20" s="266"/>
      <c r="AF20" s="266"/>
      <c r="AG20" s="266"/>
      <c r="AH20" s="266"/>
      <c r="AI20" s="266"/>
      <c r="AJ20" s="266"/>
      <c r="AK20" s="266"/>
      <c r="AL20" s="266"/>
      <c r="AM20" s="266"/>
      <c r="AN20" s="266"/>
      <c r="AO20" s="266"/>
      <c r="AP20" s="266"/>
      <c r="AQ20" s="266"/>
      <c r="AR20" s="275"/>
      <c r="AS20" s="276"/>
      <c r="AT20" s="30" t="s">
        <v>99</v>
      </c>
      <c r="AU20" s="205">
        <v>4</v>
      </c>
      <c r="AV20" s="34">
        <f t="shared" ref="AV20:AV30" si="8">BP20+AW20</f>
        <v>100</v>
      </c>
      <c r="AW20" s="42">
        <f t="shared" ref="AW20:AW30" si="9">BO20+AX20</f>
        <v>60</v>
      </c>
      <c r="AX20" s="428">
        <f t="shared" ref="AX20:AX30" si="10">(SUM(AY20:BN20))-AZ20</f>
        <v>60</v>
      </c>
      <c r="AY20" s="266">
        <v>15</v>
      </c>
      <c r="AZ20" s="274">
        <v>15</v>
      </c>
      <c r="BA20" s="266">
        <v>15</v>
      </c>
      <c r="BB20" s="266"/>
      <c r="BC20" s="266"/>
      <c r="BD20" s="266"/>
      <c r="BE20" s="266"/>
      <c r="BF20" s="266"/>
      <c r="BG20" s="266">
        <v>30</v>
      </c>
      <c r="BH20" s="266"/>
      <c r="BI20" s="266"/>
      <c r="BJ20" s="266"/>
      <c r="BK20" s="266"/>
      <c r="BL20" s="266"/>
      <c r="BM20" s="266"/>
      <c r="BN20" s="266"/>
      <c r="BO20" s="275"/>
      <c r="BP20" s="276">
        <v>40</v>
      </c>
      <c r="BQ20" s="140">
        <f t="shared" ref="BQ20:BQ41" si="11">IFERROR(M20/Q20," ")</f>
        <v>25</v>
      </c>
      <c r="BR20" s="208" t="str">
        <f t="shared" ref="BR20:BR40" si="12">IF(OR(BQ20&gt;30,BQ20&lt;25),"1 ECTS powinien mieścić się przedziale 25-30h","Wartość prawidłowa")</f>
        <v>Wartość prawidłowa</v>
      </c>
      <c r="BS20" s="919">
        <f>SUM(AB20,AD20:AP20,AY20,BA20:BM20)-AC20-AZ20-AO20-BL20</f>
        <v>45</v>
      </c>
      <c r="BT20" s="920">
        <f>AC20+AZ20</f>
        <v>15</v>
      </c>
      <c r="BU20" s="920">
        <f>AO20+BL20</f>
        <v>0</v>
      </c>
      <c r="BV20" s="920">
        <f>AR20+BO20</f>
        <v>0</v>
      </c>
      <c r="BW20" s="920">
        <f>N20</f>
        <v>40</v>
      </c>
      <c r="BX20" s="921">
        <f>AQ20+BN20</f>
        <v>0</v>
      </c>
      <c r="BY20" s="922">
        <f>SUM(BS20:BX20)</f>
        <v>100</v>
      </c>
      <c r="BZ20" s="923">
        <f>IFERROR((BS20*Q20)/BY20," ")</f>
        <v>1.8</v>
      </c>
      <c r="CA20" s="924">
        <f>IFERROR((BT20*Q20)/BY20," ")</f>
        <v>0.6</v>
      </c>
      <c r="CB20" s="924">
        <f t="shared" ref="CB20:CB26" si="13">IFERROR((BU20*Q20)/BY20," ")</f>
        <v>0</v>
      </c>
      <c r="CC20" s="924">
        <f t="shared" ref="CC20:CC26" si="14">IFERROR((BV20*Q20)/BY20," ")</f>
        <v>0</v>
      </c>
      <c r="CD20" s="924">
        <f>IFERROR((BW20*Q20)/BY20," ")</f>
        <v>1.6</v>
      </c>
      <c r="CE20" s="948">
        <f t="shared" ref="CE20:CE26" si="15">IFERROR((BX20*Q20)/BY20," ")</f>
        <v>0</v>
      </c>
      <c r="CF20" s="962">
        <f t="shared" ref="CF20:CF26" si="16">IFERROR((SUM(BZ20:CE20))," ")</f>
        <v>4</v>
      </c>
      <c r="CG20" s="956">
        <f>SUM(BS20:BT20,BX20)</f>
        <v>60</v>
      </c>
      <c r="CH20" s="921">
        <f>SUM(BT20:BU20)</f>
        <v>15</v>
      </c>
      <c r="CI20" s="925">
        <f>SUM(BZ20:CA20,CE20)</f>
        <v>2.4</v>
      </c>
      <c r="CJ20" s="997">
        <f>SUM(CA20:CB20)</f>
        <v>0.6</v>
      </c>
      <c r="CK20" s="1000">
        <f>Matryca!Q20</f>
        <v>1</v>
      </c>
      <c r="CL20" s="1001">
        <f>Matryca!R20</f>
        <v>1</v>
      </c>
      <c r="CM20" s="1002">
        <f>Matryca!S20</f>
        <v>1</v>
      </c>
    </row>
    <row r="21" spans="1:91" s="44" customFormat="1" ht="38.25" customHeight="1" x14ac:dyDescent="0.25">
      <c r="A21" s="46">
        <v>2</v>
      </c>
      <c r="B21" s="31"/>
      <c r="C21" s="46" t="s">
        <v>107</v>
      </c>
      <c r="D21" s="46"/>
      <c r="E21" s="47">
        <v>1</v>
      </c>
      <c r="F21" s="46" t="s">
        <v>107</v>
      </c>
      <c r="G21" s="46" t="s">
        <v>59</v>
      </c>
      <c r="H21" s="33"/>
      <c r="I21" s="1088" t="s">
        <v>646</v>
      </c>
      <c r="J21" s="118"/>
      <c r="K21" s="118"/>
      <c r="L21" s="122" t="s">
        <v>418</v>
      </c>
      <c r="M21" s="192">
        <f t="shared" si="0"/>
        <v>25</v>
      </c>
      <c r="N21" s="50">
        <f t="shared" si="1"/>
        <v>0</v>
      </c>
      <c r="O21" s="51">
        <f t="shared" si="2"/>
        <v>25</v>
      </c>
      <c r="P21" s="415">
        <f t="shared" si="3"/>
        <v>25</v>
      </c>
      <c r="Q21" s="52">
        <f t="shared" si="4"/>
        <v>1</v>
      </c>
      <c r="R21" s="38">
        <f t="shared" ref="R21:R30" si="17">IFERROR((AL21+BI21)*Q21/O21," ")</f>
        <v>0</v>
      </c>
      <c r="S21" s="76">
        <f t="shared" ref="S21:S41" si="18">IFERROR(IF(L21="tak",(SUM(AE21:AL21,AQ21,BB21:BI21,BN21))*Q21/O21,0),0)</f>
        <v>0</v>
      </c>
      <c r="T21" s="39">
        <f t="shared" ref="T21:T30" si="19">IFERROR((AC21+AO21+AZ21+BL21)*Q21/O21," ")</f>
        <v>0.6</v>
      </c>
      <c r="U21" s="40">
        <f t="shared" ref="U21:U41" si="20">IFERROR((SUM(AB21,AD21:AN21,AY21,BA21:BK21,AP21:AQ21,BM21:BN21)*Q21/M21)," ")</f>
        <v>1</v>
      </c>
      <c r="V21" s="201" t="s">
        <v>99</v>
      </c>
      <c r="W21" s="43" t="s">
        <v>99</v>
      </c>
      <c r="X21" s="202">
        <v>1</v>
      </c>
      <c r="Y21" s="53">
        <f t="shared" si="5"/>
        <v>25</v>
      </c>
      <c r="Z21" s="54">
        <f t="shared" si="6"/>
        <v>25</v>
      </c>
      <c r="AA21" s="419">
        <f t="shared" si="7"/>
        <v>25</v>
      </c>
      <c r="AB21" s="260">
        <v>15</v>
      </c>
      <c r="AC21" s="277">
        <v>15</v>
      </c>
      <c r="AD21" s="265">
        <v>10</v>
      </c>
      <c r="AE21" s="265"/>
      <c r="AF21" s="265"/>
      <c r="AG21" s="265"/>
      <c r="AH21" s="265"/>
      <c r="AI21" s="265"/>
      <c r="AJ21" s="265"/>
      <c r="AK21" s="265"/>
      <c r="AL21" s="265"/>
      <c r="AM21" s="265"/>
      <c r="AN21" s="265"/>
      <c r="AO21" s="265"/>
      <c r="AP21" s="265"/>
      <c r="AQ21" s="265"/>
      <c r="AR21" s="278"/>
      <c r="AS21" s="279"/>
      <c r="AT21" s="30"/>
      <c r="AU21" s="202"/>
      <c r="AV21" s="49">
        <f t="shared" si="8"/>
        <v>0</v>
      </c>
      <c r="AW21" s="54">
        <f t="shared" si="9"/>
        <v>0</v>
      </c>
      <c r="AX21" s="427">
        <f t="shared" si="10"/>
        <v>0</v>
      </c>
      <c r="AY21" s="265"/>
      <c r="AZ21" s="277"/>
      <c r="BA21" s="265"/>
      <c r="BB21" s="265"/>
      <c r="BC21" s="265"/>
      <c r="BD21" s="265"/>
      <c r="BE21" s="265"/>
      <c r="BF21" s="265"/>
      <c r="BG21" s="265"/>
      <c r="BH21" s="265"/>
      <c r="BI21" s="265"/>
      <c r="BJ21" s="265"/>
      <c r="BK21" s="265"/>
      <c r="BL21" s="265"/>
      <c r="BM21" s="265"/>
      <c r="BN21" s="265"/>
      <c r="BO21" s="278"/>
      <c r="BP21" s="279"/>
      <c r="BQ21" s="141">
        <f t="shared" si="11"/>
        <v>25</v>
      </c>
      <c r="BR21" s="209" t="str">
        <f t="shared" si="12"/>
        <v>Wartość prawidłowa</v>
      </c>
      <c r="BS21" s="926">
        <f>SUM(AB21,AD21:AP21,AY21,BA21:BM21)-AC21-AZ21-AO21-BL21</f>
        <v>10</v>
      </c>
      <c r="BT21" s="118">
        <f>AC21+AZ21</f>
        <v>15</v>
      </c>
      <c r="BU21" s="118">
        <f>AO21+BL21</f>
        <v>0</v>
      </c>
      <c r="BV21" s="118">
        <f>AR21+BO21</f>
        <v>0</v>
      </c>
      <c r="BW21" s="118">
        <f>N21</f>
        <v>0</v>
      </c>
      <c r="BX21" s="209">
        <f>AQ21+BN21</f>
        <v>0</v>
      </c>
      <c r="BY21" s="927">
        <f>SUM(BS21:BX21)</f>
        <v>25</v>
      </c>
      <c r="BZ21" s="928">
        <f>IFERROR((BS21*Q21)/BY21," ")</f>
        <v>0.4</v>
      </c>
      <c r="CA21" s="929">
        <f>IFERROR((BT21*Q21)/BY21," ")</f>
        <v>0.6</v>
      </c>
      <c r="CB21" s="929">
        <f t="shared" si="13"/>
        <v>0</v>
      </c>
      <c r="CC21" s="929">
        <f t="shared" si="14"/>
        <v>0</v>
      </c>
      <c r="CD21" s="929">
        <f>IFERROR((BW21*Q21)/BY21," ")</f>
        <v>0</v>
      </c>
      <c r="CE21" s="949">
        <f t="shared" si="15"/>
        <v>0</v>
      </c>
      <c r="CF21" s="963">
        <f t="shared" si="16"/>
        <v>1</v>
      </c>
      <c r="CG21" s="957">
        <f t="shared" ref="CG21:CG41" si="21">SUM(BS21:BT21,BX21)</f>
        <v>25</v>
      </c>
      <c r="CH21" s="209">
        <f t="shared" ref="CH21:CH41" si="22">SUM(BT21:BU21)</f>
        <v>15</v>
      </c>
      <c r="CI21" s="930">
        <f t="shared" ref="CI21:CI41" si="23">SUM(BZ21:CA21,CE21)</f>
        <v>1</v>
      </c>
      <c r="CJ21" s="998">
        <f t="shared" ref="CJ21:CJ41" si="24">SUM(CA21:CB21)</f>
        <v>0.6</v>
      </c>
      <c r="CK21" s="1000">
        <f>Matryca!Q21</f>
        <v>2</v>
      </c>
      <c r="CL21" s="1001">
        <f>Matryca!R21</f>
        <v>1</v>
      </c>
      <c r="CM21" s="1002">
        <f>Matryca!S21</f>
        <v>1</v>
      </c>
    </row>
    <row r="22" spans="1:91" s="44" customFormat="1" ht="30" customHeight="1" x14ac:dyDescent="0.25">
      <c r="A22" s="46">
        <v>3</v>
      </c>
      <c r="B22" s="31"/>
      <c r="C22" s="46" t="s">
        <v>107</v>
      </c>
      <c r="D22" s="46"/>
      <c r="E22" s="47">
        <v>1</v>
      </c>
      <c r="F22" s="46" t="s">
        <v>107</v>
      </c>
      <c r="G22" s="46" t="s">
        <v>59</v>
      </c>
      <c r="H22" s="33"/>
      <c r="I22" s="1088" t="s">
        <v>522</v>
      </c>
      <c r="J22" s="118"/>
      <c r="K22" s="118" t="s">
        <v>417</v>
      </c>
      <c r="L22" s="122" t="s">
        <v>418</v>
      </c>
      <c r="M22" s="192">
        <f t="shared" si="0"/>
        <v>125</v>
      </c>
      <c r="N22" s="50">
        <f t="shared" si="1"/>
        <v>75</v>
      </c>
      <c r="O22" s="51">
        <f t="shared" si="2"/>
        <v>50</v>
      </c>
      <c r="P22" s="415">
        <f t="shared" si="3"/>
        <v>50</v>
      </c>
      <c r="Q22" s="52">
        <f t="shared" si="4"/>
        <v>5</v>
      </c>
      <c r="R22" s="38">
        <f t="shared" si="17"/>
        <v>0</v>
      </c>
      <c r="S22" s="76">
        <f t="shared" si="18"/>
        <v>0</v>
      </c>
      <c r="T22" s="39">
        <f t="shared" si="19"/>
        <v>3</v>
      </c>
      <c r="U22" s="40">
        <f t="shared" si="20"/>
        <v>2</v>
      </c>
      <c r="V22" s="201" t="s">
        <v>56</v>
      </c>
      <c r="W22" s="43" t="s">
        <v>99</v>
      </c>
      <c r="X22" s="202">
        <v>5</v>
      </c>
      <c r="Y22" s="53">
        <f t="shared" si="5"/>
        <v>125</v>
      </c>
      <c r="Z22" s="54">
        <f t="shared" si="6"/>
        <v>50</v>
      </c>
      <c r="AA22" s="419">
        <f t="shared" si="7"/>
        <v>50</v>
      </c>
      <c r="AB22" s="260">
        <v>30</v>
      </c>
      <c r="AC22" s="277">
        <v>30</v>
      </c>
      <c r="AD22" s="265"/>
      <c r="AE22" s="265">
        <v>20</v>
      </c>
      <c r="AF22" s="265"/>
      <c r="AG22" s="265"/>
      <c r="AH22" s="265"/>
      <c r="AI22" s="265"/>
      <c r="AJ22" s="265"/>
      <c r="AK22" s="265"/>
      <c r="AL22" s="265"/>
      <c r="AM22" s="265"/>
      <c r="AN22" s="265"/>
      <c r="AO22" s="265"/>
      <c r="AP22" s="265"/>
      <c r="AQ22" s="265"/>
      <c r="AR22" s="278"/>
      <c r="AS22" s="279">
        <v>75</v>
      </c>
      <c r="AT22" s="30"/>
      <c r="AU22" s="202"/>
      <c r="AV22" s="49">
        <f t="shared" si="8"/>
        <v>0</v>
      </c>
      <c r="AW22" s="54">
        <f t="shared" si="9"/>
        <v>0</v>
      </c>
      <c r="AX22" s="427">
        <f t="shared" si="10"/>
        <v>0</v>
      </c>
      <c r="AY22" s="265"/>
      <c r="AZ22" s="277"/>
      <c r="BA22" s="265"/>
      <c r="BB22" s="265"/>
      <c r="BC22" s="265"/>
      <c r="BD22" s="265"/>
      <c r="BE22" s="265"/>
      <c r="BF22" s="265"/>
      <c r="BG22" s="265"/>
      <c r="BH22" s="265"/>
      <c r="BI22" s="265"/>
      <c r="BJ22" s="265"/>
      <c r="BK22" s="265"/>
      <c r="BL22" s="265"/>
      <c r="BM22" s="265"/>
      <c r="BN22" s="265"/>
      <c r="BO22" s="278"/>
      <c r="BP22" s="290"/>
      <c r="BQ22" s="141">
        <f t="shared" si="11"/>
        <v>25</v>
      </c>
      <c r="BR22" s="209" t="str">
        <f t="shared" si="12"/>
        <v>Wartość prawidłowa</v>
      </c>
      <c r="BS22" s="926">
        <f t="shared" ref="BS22:BS26" si="25">SUM(AB22,AD22:AP22,AY22,BA22:BM22)-AC22-AZ22-AO22-BL22</f>
        <v>20</v>
      </c>
      <c r="BT22" s="118">
        <f t="shared" ref="BT22:BT26" si="26">AC22+AZ22</f>
        <v>30</v>
      </c>
      <c r="BU22" s="118">
        <f t="shared" ref="BU22:BU26" si="27">AO22+BL22</f>
        <v>0</v>
      </c>
      <c r="BV22" s="118">
        <f t="shared" ref="BV22:BV26" si="28">AR22+BO22</f>
        <v>0</v>
      </c>
      <c r="BW22" s="118">
        <f t="shared" ref="BW22:BW26" si="29">N22</f>
        <v>75</v>
      </c>
      <c r="BX22" s="209">
        <f t="shared" ref="BX22:BX26" si="30">AQ22+BN22</f>
        <v>0</v>
      </c>
      <c r="BY22" s="927">
        <f t="shared" ref="BY22:BY26" si="31">SUM(BS22:BX22)</f>
        <v>125</v>
      </c>
      <c r="BZ22" s="928">
        <f t="shared" ref="BZ22:BZ26" si="32">IFERROR((BS22*Q22)/BY22," ")</f>
        <v>0.8</v>
      </c>
      <c r="CA22" s="929">
        <f t="shared" ref="CA22:CA26" si="33">IFERROR((BT22*Q22)/BY22," ")</f>
        <v>1.2</v>
      </c>
      <c r="CB22" s="929">
        <f t="shared" si="13"/>
        <v>0</v>
      </c>
      <c r="CC22" s="929">
        <f t="shared" si="14"/>
        <v>0</v>
      </c>
      <c r="CD22" s="929">
        <f t="shared" ref="CD22:CD26" si="34">IFERROR((BW22*Q22)/BY22," ")</f>
        <v>3</v>
      </c>
      <c r="CE22" s="949">
        <f t="shared" si="15"/>
        <v>0</v>
      </c>
      <c r="CF22" s="963">
        <f t="shared" si="16"/>
        <v>5</v>
      </c>
      <c r="CG22" s="957">
        <f t="shared" si="21"/>
        <v>50</v>
      </c>
      <c r="CH22" s="209">
        <f t="shared" si="22"/>
        <v>30</v>
      </c>
      <c r="CI22" s="930">
        <f t="shared" si="23"/>
        <v>2</v>
      </c>
      <c r="CJ22" s="998">
        <f t="shared" si="24"/>
        <v>1.2</v>
      </c>
      <c r="CK22" s="1000">
        <f>Matryca!Q22</f>
        <v>1</v>
      </c>
      <c r="CL22" s="1001">
        <f>Matryca!R22</f>
        <v>1</v>
      </c>
      <c r="CM22" s="1002">
        <f>Matryca!S22</f>
        <v>1</v>
      </c>
    </row>
    <row r="23" spans="1:91" s="44" customFormat="1" ht="30" customHeight="1" x14ac:dyDescent="0.25">
      <c r="A23" s="46">
        <v>4</v>
      </c>
      <c r="B23" s="31"/>
      <c r="C23" s="46" t="s">
        <v>107</v>
      </c>
      <c r="D23" s="46"/>
      <c r="E23" s="47">
        <v>1</v>
      </c>
      <c r="F23" s="46" t="s">
        <v>107</v>
      </c>
      <c r="G23" s="46" t="s">
        <v>59</v>
      </c>
      <c r="H23" s="33"/>
      <c r="I23" s="1088" t="s">
        <v>647</v>
      </c>
      <c r="J23" s="118"/>
      <c r="K23" s="118"/>
      <c r="L23" s="122" t="s">
        <v>418</v>
      </c>
      <c r="M23" s="192">
        <f t="shared" si="0"/>
        <v>50</v>
      </c>
      <c r="N23" s="50">
        <f t="shared" si="1"/>
        <v>15</v>
      </c>
      <c r="O23" s="51">
        <f t="shared" si="2"/>
        <v>35</v>
      </c>
      <c r="P23" s="415">
        <f t="shared" si="3"/>
        <v>35</v>
      </c>
      <c r="Q23" s="52">
        <f t="shared" si="4"/>
        <v>2</v>
      </c>
      <c r="R23" s="38">
        <f t="shared" si="17"/>
        <v>0</v>
      </c>
      <c r="S23" s="76">
        <f t="shared" si="18"/>
        <v>0</v>
      </c>
      <c r="T23" s="39">
        <f t="shared" si="19"/>
        <v>0.8571428571428571</v>
      </c>
      <c r="U23" s="40">
        <f t="shared" si="20"/>
        <v>1.4</v>
      </c>
      <c r="V23" s="201" t="s">
        <v>99</v>
      </c>
      <c r="W23" s="43" t="s">
        <v>99</v>
      </c>
      <c r="X23" s="202"/>
      <c r="Y23" s="53">
        <f t="shared" si="5"/>
        <v>0</v>
      </c>
      <c r="Z23" s="54">
        <f t="shared" si="6"/>
        <v>0</v>
      </c>
      <c r="AA23" s="419">
        <f t="shared" si="7"/>
        <v>0</v>
      </c>
      <c r="AB23" s="260"/>
      <c r="AC23" s="277"/>
      <c r="AD23" s="265"/>
      <c r="AE23" s="265"/>
      <c r="AF23" s="265"/>
      <c r="AG23" s="265"/>
      <c r="AH23" s="265"/>
      <c r="AI23" s="265"/>
      <c r="AJ23" s="265"/>
      <c r="AK23" s="265"/>
      <c r="AL23" s="265"/>
      <c r="AM23" s="265"/>
      <c r="AN23" s="265"/>
      <c r="AO23" s="265"/>
      <c r="AP23" s="265"/>
      <c r="AQ23" s="265"/>
      <c r="AR23" s="278"/>
      <c r="AS23" s="279"/>
      <c r="AT23" s="30" t="s">
        <v>99</v>
      </c>
      <c r="AU23" s="202">
        <v>2</v>
      </c>
      <c r="AV23" s="49">
        <f t="shared" si="8"/>
        <v>50</v>
      </c>
      <c r="AW23" s="54">
        <f t="shared" si="9"/>
        <v>35</v>
      </c>
      <c r="AX23" s="427">
        <f t="shared" si="10"/>
        <v>35</v>
      </c>
      <c r="AY23" s="265">
        <v>15</v>
      </c>
      <c r="AZ23" s="277">
        <v>15</v>
      </c>
      <c r="BA23" s="265"/>
      <c r="BB23" s="265"/>
      <c r="BC23" s="265">
        <v>20</v>
      </c>
      <c r="BD23" s="265"/>
      <c r="BE23" s="265"/>
      <c r="BF23" s="265"/>
      <c r="BG23" s="265"/>
      <c r="BH23" s="265"/>
      <c r="BI23" s="265"/>
      <c r="BJ23" s="265"/>
      <c r="BK23" s="265"/>
      <c r="BL23" s="265"/>
      <c r="BM23" s="265"/>
      <c r="BN23" s="265"/>
      <c r="BO23" s="278"/>
      <c r="BP23" s="290">
        <v>15</v>
      </c>
      <c r="BQ23" s="141">
        <f t="shared" si="11"/>
        <v>25</v>
      </c>
      <c r="BR23" s="209" t="str">
        <f t="shared" si="12"/>
        <v>Wartość prawidłowa</v>
      </c>
      <c r="BS23" s="926">
        <f t="shared" si="25"/>
        <v>20</v>
      </c>
      <c r="BT23" s="118">
        <f t="shared" si="26"/>
        <v>15</v>
      </c>
      <c r="BU23" s="118">
        <f t="shared" si="27"/>
        <v>0</v>
      </c>
      <c r="BV23" s="118">
        <f t="shared" si="28"/>
        <v>0</v>
      </c>
      <c r="BW23" s="118">
        <f t="shared" si="29"/>
        <v>15</v>
      </c>
      <c r="BX23" s="209">
        <f t="shared" si="30"/>
        <v>0</v>
      </c>
      <c r="BY23" s="927">
        <f t="shared" si="31"/>
        <v>50</v>
      </c>
      <c r="BZ23" s="928">
        <f t="shared" si="32"/>
        <v>0.8</v>
      </c>
      <c r="CA23" s="929">
        <f t="shared" si="33"/>
        <v>0.6</v>
      </c>
      <c r="CB23" s="929">
        <f t="shared" si="13"/>
        <v>0</v>
      </c>
      <c r="CC23" s="929">
        <f t="shared" si="14"/>
        <v>0</v>
      </c>
      <c r="CD23" s="929">
        <f t="shared" si="34"/>
        <v>0.6</v>
      </c>
      <c r="CE23" s="949">
        <f t="shared" si="15"/>
        <v>0</v>
      </c>
      <c r="CF23" s="963">
        <f t="shared" si="16"/>
        <v>2</v>
      </c>
      <c r="CG23" s="957">
        <f t="shared" si="21"/>
        <v>35</v>
      </c>
      <c r="CH23" s="209">
        <f t="shared" si="22"/>
        <v>15</v>
      </c>
      <c r="CI23" s="930">
        <f t="shared" si="23"/>
        <v>1.4</v>
      </c>
      <c r="CJ23" s="998">
        <f t="shared" si="24"/>
        <v>0.6</v>
      </c>
      <c r="CK23" s="1000">
        <f>Matryca!Q23</f>
        <v>3</v>
      </c>
      <c r="CL23" s="1001">
        <f>Matryca!R23</f>
        <v>1</v>
      </c>
      <c r="CM23" s="1002">
        <f>Matryca!S23</f>
        <v>1</v>
      </c>
    </row>
    <row r="24" spans="1:91" s="44" customFormat="1" ht="30" customHeight="1" x14ac:dyDescent="0.25">
      <c r="A24" s="46">
        <v>5</v>
      </c>
      <c r="B24" s="31"/>
      <c r="C24" s="46" t="s">
        <v>107</v>
      </c>
      <c r="D24" s="46"/>
      <c r="E24" s="47">
        <v>1</v>
      </c>
      <c r="F24" s="46" t="s">
        <v>107</v>
      </c>
      <c r="G24" s="46" t="s">
        <v>59</v>
      </c>
      <c r="H24" s="33"/>
      <c r="I24" s="1101" t="s">
        <v>432</v>
      </c>
      <c r="J24" s="118"/>
      <c r="K24" s="118"/>
      <c r="L24" s="122" t="s">
        <v>418</v>
      </c>
      <c r="M24" s="192">
        <f t="shared" si="0"/>
        <v>28</v>
      </c>
      <c r="N24" s="50">
        <f t="shared" si="1"/>
        <v>0</v>
      </c>
      <c r="O24" s="51">
        <f t="shared" si="2"/>
        <v>28</v>
      </c>
      <c r="P24" s="415">
        <f t="shared" si="3"/>
        <v>28</v>
      </c>
      <c r="Q24" s="52">
        <f t="shared" si="4"/>
        <v>0</v>
      </c>
      <c r="R24" s="38">
        <f t="shared" si="17"/>
        <v>0</v>
      </c>
      <c r="S24" s="76">
        <f t="shared" si="18"/>
        <v>0</v>
      </c>
      <c r="T24" s="39">
        <f t="shared" si="19"/>
        <v>0</v>
      </c>
      <c r="U24" s="40">
        <f t="shared" si="20"/>
        <v>0</v>
      </c>
      <c r="V24" s="201" t="s">
        <v>57</v>
      </c>
      <c r="W24" s="43" t="s">
        <v>57</v>
      </c>
      <c r="X24" s="202"/>
      <c r="Y24" s="53">
        <f t="shared" si="5"/>
        <v>28</v>
      </c>
      <c r="Z24" s="54">
        <f t="shared" si="6"/>
        <v>28</v>
      </c>
      <c r="AA24" s="419">
        <f t="shared" si="7"/>
        <v>28</v>
      </c>
      <c r="AB24" s="260"/>
      <c r="AC24" s="277"/>
      <c r="AD24" s="265"/>
      <c r="AE24" s="886">
        <v>20</v>
      </c>
      <c r="AG24" s="265"/>
      <c r="AH24" s="265"/>
      <c r="AI24" s="265"/>
      <c r="AJ24" s="265"/>
      <c r="AK24" s="265"/>
      <c r="AL24" s="265"/>
      <c r="AM24" s="265"/>
      <c r="AN24" s="265"/>
      <c r="AO24" s="265">
        <v>8</v>
      </c>
      <c r="AP24" s="265"/>
      <c r="AQ24" s="265"/>
      <c r="AR24" s="278"/>
      <c r="AS24" s="279"/>
      <c r="AT24" s="30"/>
      <c r="AU24" s="202"/>
      <c r="AV24" s="49">
        <f t="shared" si="8"/>
        <v>0</v>
      </c>
      <c r="AW24" s="54">
        <f t="shared" si="9"/>
        <v>0</v>
      </c>
      <c r="AX24" s="427">
        <f t="shared" si="10"/>
        <v>0</v>
      </c>
      <c r="AY24" s="265"/>
      <c r="AZ24" s="277"/>
      <c r="BA24" s="265"/>
      <c r="BB24" s="265"/>
      <c r="BC24" s="265"/>
      <c r="BD24" s="265"/>
      <c r="BE24" s="265"/>
      <c r="BF24" s="265"/>
      <c r="BG24" s="265"/>
      <c r="BH24" s="265"/>
      <c r="BI24" s="265"/>
      <c r="BJ24" s="265"/>
      <c r="BK24" s="265"/>
      <c r="BL24" s="265"/>
      <c r="BM24" s="265"/>
      <c r="BN24" s="265"/>
      <c r="BO24" s="278"/>
      <c r="BP24" s="290"/>
      <c r="BQ24" s="141" t="str">
        <f t="shared" si="11"/>
        <v xml:space="preserve"> </v>
      </c>
      <c r="BR24" s="209" t="str">
        <f t="shared" si="12"/>
        <v>1 ECTS powinien mieścić się przedziale 25-30h</v>
      </c>
      <c r="BS24" s="926">
        <f t="shared" si="25"/>
        <v>20</v>
      </c>
      <c r="BT24" s="118">
        <f t="shared" si="26"/>
        <v>0</v>
      </c>
      <c r="BU24" s="118">
        <f t="shared" si="27"/>
        <v>8</v>
      </c>
      <c r="BV24" s="118">
        <f t="shared" si="28"/>
        <v>0</v>
      </c>
      <c r="BW24" s="118">
        <f t="shared" si="29"/>
        <v>0</v>
      </c>
      <c r="BX24" s="209">
        <f t="shared" si="30"/>
        <v>0</v>
      </c>
      <c r="BY24" s="927">
        <f t="shared" si="31"/>
        <v>28</v>
      </c>
      <c r="BZ24" s="928">
        <f t="shared" si="32"/>
        <v>0</v>
      </c>
      <c r="CA24" s="929">
        <f t="shared" si="33"/>
        <v>0</v>
      </c>
      <c r="CB24" s="929">
        <f t="shared" si="13"/>
        <v>0</v>
      </c>
      <c r="CC24" s="929">
        <f t="shared" si="14"/>
        <v>0</v>
      </c>
      <c r="CD24" s="929">
        <f t="shared" si="34"/>
        <v>0</v>
      </c>
      <c r="CE24" s="949">
        <f t="shared" si="15"/>
        <v>0</v>
      </c>
      <c r="CF24" s="963">
        <f t="shared" si="16"/>
        <v>0</v>
      </c>
      <c r="CG24" s="957">
        <f t="shared" si="21"/>
        <v>20</v>
      </c>
      <c r="CH24" s="209">
        <f t="shared" si="22"/>
        <v>8</v>
      </c>
      <c r="CI24" s="930">
        <f t="shared" si="23"/>
        <v>0</v>
      </c>
      <c r="CJ24" s="998">
        <f t="shared" si="24"/>
        <v>0</v>
      </c>
      <c r="CK24" s="1000">
        <f>Matryca!Q24</f>
        <v>0</v>
      </c>
      <c r="CL24" s="1001">
        <f>Matryca!R24</f>
        <v>2</v>
      </c>
      <c r="CM24" s="1002">
        <f>Matryca!S24</f>
        <v>1</v>
      </c>
    </row>
    <row r="25" spans="1:91" s="44" customFormat="1" ht="30" customHeight="1" x14ac:dyDescent="0.25">
      <c r="A25" s="46">
        <v>6</v>
      </c>
      <c r="B25" s="31"/>
      <c r="C25" s="46" t="s">
        <v>107</v>
      </c>
      <c r="D25" s="46"/>
      <c r="E25" s="47">
        <v>1</v>
      </c>
      <c r="F25" s="46" t="s">
        <v>107</v>
      </c>
      <c r="G25" s="46" t="s">
        <v>59</v>
      </c>
      <c r="H25" s="33"/>
      <c r="I25" s="194" t="s">
        <v>667</v>
      </c>
      <c r="J25" s="118"/>
      <c r="K25" s="118"/>
      <c r="L25" s="122" t="s">
        <v>418</v>
      </c>
      <c r="M25" s="192">
        <f t="shared" si="0"/>
        <v>50</v>
      </c>
      <c r="N25" s="50">
        <f t="shared" si="1"/>
        <v>20</v>
      </c>
      <c r="O25" s="51">
        <f t="shared" si="2"/>
        <v>30</v>
      </c>
      <c r="P25" s="415">
        <f t="shared" si="3"/>
        <v>30</v>
      </c>
      <c r="Q25" s="52">
        <f t="shared" si="4"/>
        <v>2</v>
      </c>
      <c r="R25" s="38">
        <f t="shared" si="17"/>
        <v>0</v>
      </c>
      <c r="S25" s="76">
        <f t="shared" si="18"/>
        <v>0</v>
      </c>
      <c r="T25" s="39">
        <f t="shared" si="19"/>
        <v>0</v>
      </c>
      <c r="U25" s="40">
        <f t="shared" si="20"/>
        <v>1.2</v>
      </c>
      <c r="V25" s="201" t="s">
        <v>99</v>
      </c>
      <c r="W25" s="43" t="s">
        <v>99</v>
      </c>
      <c r="X25" s="202">
        <v>2</v>
      </c>
      <c r="Y25" s="53">
        <f t="shared" si="5"/>
        <v>50</v>
      </c>
      <c r="Z25" s="54">
        <f t="shared" si="6"/>
        <v>30</v>
      </c>
      <c r="AA25" s="419">
        <f t="shared" si="7"/>
        <v>30</v>
      </c>
      <c r="AB25" s="260"/>
      <c r="AC25" s="277"/>
      <c r="AD25" s="265"/>
      <c r="AE25" s="265"/>
      <c r="AF25" s="265"/>
      <c r="AG25" s="265"/>
      <c r="AH25" s="265"/>
      <c r="AI25" s="265"/>
      <c r="AJ25" s="265"/>
      <c r="AK25" s="265"/>
      <c r="AL25" s="265"/>
      <c r="AM25" s="265"/>
      <c r="AN25" s="265">
        <v>30</v>
      </c>
      <c r="AO25" s="265"/>
      <c r="AP25" s="265"/>
      <c r="AQ25" s="265"/>
      <c r="AR25" s="278"/>
      <c r="AS25" s="279">
        <v>20</v>
      </c>
      <c r="AT25" s="30"/>
      <c r="AU25" s="202"/>
      <c r="AV25" s="49">
        <f t="shared" ref="AV25" si="35">BP25+AW25</f>
        <v>0</v>
      </c>
      <c r="AW25" s="54">
        <f t="shared" ref="AW25" si="36">BO25+AX25</f>
        <v>0</v>
      </c>
      <c r="AX25" s="424">
        <f t="shared" ref="AX25" si="37">(SUM(AY25:BN25))-AZ25</f>
        <v>0</v>
      </c>
      <c r="AY25" s="260"/>
      <c r="AZ25" s="277"/>
      <c r="BA25" s="265"/>
      <c r="BB25" s="265"/>
      <c r="BC25" s="265"/>
      <c r="BD25" s="265"/>
      <c r="BE25" s="265"/>
      <c r="BF25" s="265"/>
      <c r="BG25" s="265"/>
      <c r="BH25" s="265"/>
      <c r="BI25" s="265"/>
      <c r="BJ25" s="265"/>
      <c r="BK25" s="265"/>
      <c r="BL25" s="265"/>
      <c r="BM25" s="265"/>
      <c r="BN25" s="265"/>
      <c r="BO25" s="278"/>
      <c r="BP25" s="290"/>
      <c r="BQ25" s="141">
        <f t="shared" si="11"/>
        <v>25</v>
      </c>
      <c r="BR25" s="209" t="str">
        <f t="shared" si="12"/>
        <v>Wartość prawidłowa</v>
      </c>
      <c r="BS25" s="926">
        <f t="shared" si="25"/>
        <v>30</v>
      </c>
      <c r="BT25" s="118">
        <f t="shared" si="26"/>
        <v>0</v>
      </c>
      <c r="BU25" s="118">
        <f t="shared" si="27"/>
        <v>0</v>
      </c>
      <c r="BV25" s="118">
        <f t="shared" si="28"/>
        <v>0</v>
      </c>
      <c r="BW25" s="118">
        <f t="shared" si="29"/>
        <v>20</v>
      </c>
      <c r="BX25" s="209">
        <f t="shared" si="30"/>
        <v>0</v>
      </c>
      <c r="BY25" s="927">
        <f t="shared" si="31"/>
        <v>50</v>
      </c>
      <c r="BZ25" s="928">
        <f t="shared" si="32"/>
        <v>1.2</v>
      </c>
      <c r="CA25" s="929">
        <f t="shared" si="33"/>
        <v>0</v>
      </c>
      <c r="CB25" s="929">
        <f t="shared" si="13"/>
        <v>0</v>
      </c>
      <c r="CC25" s="929">
        <f t="shared" si="14"/>
        <v>0</v>
      </c>
      <c r="CD25" s="929">
        <f t="shared" si="34"/>
        <v>0.8</v>
      </c>
      <c r="CE25" s="949">
        <f t="shared" si="15"/>
        <v>0</v>
      </c>
      <c r="CF25" s="963">
        <f t="shared" si="16"/>
        <v>2</v>
      </c>
      <c r="CG25" s="957">
        <f t="shared" si="21"/>
        <v>30</v>
      </c>
      <c r="CH25" s="209">
        <f t="shared" si="22"/>
        <v>0</v>
      </c>
      <c r="CI25" s="930">
        <f t="shared" si="23"/>
        <v>1.2</v>
      </c>
      <c r="CJ25" s="998">
        <f t="shared" si="24"/>
        <v>0</v>
      </c>
      <c r="CK25" s="1000">
        <f>Matryca!Q25</f>
        <v>0</v>
      </c>
      <c r="CL25" s="1001">
        <f>Matryca!R25</f>
        <v>1</v>
      </c>
      <c r="CM25" s="1002">
        <f>Matryca!S25</f>
        <v>1</v>
      </c>
    </row>
    <row r="26" spans="1:91" s="44" customFormat="1" ht="30" customHeight="1" x14ac:dyDescent="0.25">
      <c r="A26" s="46">
        <v>7</v>
      </c>
      <c r="B26" s="31"/>
      <c r="C26" s="46" t="s">
        <v>107</v>
      </c>
      <c r="D26" s="46"/>
      <c r="E26" s="47">
        <v>1</v>
      </c>
      <c r="F26" s="46" t="s">
        <v>107</v>
      </c>
      <c r="G26" s="46" t="s">
        <v>59</v>
      </c>
      <c r="H26" s="33"/>
      <c r="I26" s="872" t="s">
        <v>668</v>
      </c>
      <c r="J26" s="118"/>
      <c r="K26" s="118"/>
      <c r="L26" s="122" t="s">
        <v>418</v>
      </c>
      <c r="M26" s="192">
        <f t="shared" ref="M26" si="38">Y26+AV26</f>
        <v>50</v>
      </c>
      <c r="N26" s="50">
        <f t="shared" ref="N26" si="39">AS26+BP26</f>
        <v>20</v>
      </c>
      <c r="O26" s="51">
        <f t="shared" ref="O26" si="40">Z26+AW26</f>
        <v>30</v>
      </c>
      <c r="P26" s="415">
        <f t="shared" ref="P26" si="41">AA26+AX26</f>
        <v>30</v>
      </c>
      <c r="Q26" s="52">
        <f t="shared" ref="Q26" si="42">X26+AU26</f>
        <v>2</v>
      </c>
      <c r="R26" s="38">
        <f t="shared" ref="R26" si="43">IFERROR((AL26+BI26)*Q26/O26," ")</f>
        <v>0</v>
      </c>
      <c r="S26" s="76">
        <f t="shared" si="18"/>
        <v>0</v>
      </c>
      <c r="T26" s="39">
        <f t="shared" ref="T26" si="44">IFERROR((AC26+AO26+AZ26+BL26)*Q26/O26," ")</f>
        <v>0</v>
      </c>
      <c r="U26" s="40">
        <f t="shared" si="20"/>
        <v>1.2</v>
      </c>
      <c r="V26" s="201" t="s">
        <v>99</v>
      </c>
      <c r="W26" s="43"/>
      <c r="X26" s="202"/>
      <c r="Y26" s="53">
        <f t="shared" ref="Y26" si="45">AS26+Z26</f>
        <v>0</v>
      </c>
      <c r="Z26" s="54">
        <f t="shared" ref="Z26" si="46">AR26+AA26</f>
        <v>0</v>
      </c>
      <c r="AA26" s="419">
        <f t="shared" ref="AA26" si="47">(SUM(AB26:AQ26))-AC26</f>
        <v>0</v>
      </c>
      <c r="AB26" s="260"/>
      <c r="AC26" s="277"/>
      <c r="AD26" s="265"/>
      <c r="AE26" s="265"/>
      <c r="AF26" s="265"/>
      <c r="AG26" s="265"/>
      <c r="AH26" s="265"/>
      <c r="AI26" s="265"/>
      <c r="AJ26" s="265"/>
      <c r="AK26" s="265"/>
      <c r="AL26" s="265"/>
      <c r="AM26" s="265"/>
      <c r="AN26" s="265"/>
      <c r="AO26" s="265"/>
      <c r="AP26" s="265"/>
      <c r="AQ26" s="265"/>
      <c r="AR26" s="278"/>
      <c r="AS26" s="279"/>
      <c r="AT26" s="30" t="s">
        <v>99</v>
      </c>
      <c r="AU26" s="202">
        <v>2</v>
      </c>
      <c r="AV26" s="49">
        <f t="shared" ref="AV26" si="48">BP26+AW26</f>
        <v>50</v>
      </c>
      <c r="AW26" s="54">
        <f t="shared" ref="AW26" si="49">BO26+AX26</f>
        <v>30</v>
      </c>
      <c r="AX26" s="424">
        <f t="shared" ref="AX26" si="50">(SUM(AY26:BN26))-AZ26</f>
        <v>30</v>
      </c>
      <c r="AY26" s="260"/>
      <c r="AZ26" s="277"/>
      <c r="BA26" s="265"/>
      <c r="BB26" s="265"/>
      <c r="BC26" s="265"/>
      <c r="BD26" s="265"/>
      <c r="BE26" s="265"/>
      <c r="BF26" s="265"/>
      <c r="BG26" s="265"/>
      <c r="BH26" s="265"/>
      <c r="BI26" s="265"/>
      <c r="BJ26" s="265"/>
      <c r="BK26" s="265">
        <v>30</v>
      </c>
      <c r="BL26" s="265"/>
      <c r="BM26" s="265"/>
      <c r="BN26" s="265"/>
      <c r="BO26" s="278"/>
      <c r="BP26" s="290">
        <v>20</v>
      </c>
      <c r="BQ26" s="141">
        <f t="shared" ref="BQ26" si="51">IFERROR(M26/Q26," ")</f>
        <v>25</v>
      </c>
      <c r="BR26" s="209" t="str">
        <f t="shared" ref="BR26" si="52">IF(OR(BQ26&gt;30,BQ26&lt;25),"1 ECTS powinien mieścić się przedziale 25-30h","Wartość prawidłowa")</f>
        <v>Wartość prawidłowa</v>
      </c>
      <c r="BS26" s="926">
        <f t="shared" si="25"/>
        <v>30</v>
      </c>
      <c r="BT26" s="118">
        <f t="shared" si="26"/>
        <v>0</v>
      </c>
      <c r="BU26" s="118">
        <f t="shared" si="27"/>
        <v>0</v>
      </c>
      <c r="BV26" s="118">
        <f t="shared" si="28"/>
        <v>0</v>
      </c>
      <c r="BW26" s="118">
        <f t="shared" si="29"/>
        <v>20</v>
      </c>
      <c r="BX26" s="209">
        <f t="shared" si="30"/>
        <v>0</v>
      </c>
      <c r="BY26" s="927">
        <f t="shared" si="31"/>
        <v>50</v>
      </c>
      <c r="BZ26" s="928">
        <f t="shared" si="32"/>
        <v>1.2</v>
      </c>
      <c r="CA26" s="929">
        <f t="shared" si="33"/>
        <v>0</v>
      </c>
      <c r="CB26" s="929">
        <f t="shared" si="13"/>
        <v>0</v>
      </c>
      <c r="CC26" s="929">
        <f t="shared" si="14"/>
        <v>0</v>
      </c>
      <c r="CD26" s="929">
        <f t="shared" si="34"/>
        <v>0.8</v>
      </c>
      <c r="CE26" s="949">
        <f t="shared" si="15"/>
        <v>0</v>
      </c>
      <c r="CF26" s="963">
        <f t="shared" si="16"/>
        <v>2</v>
      </c>
      <c r="CG26" s="957">
        <f t="shared" si="21"/>
        <v>30</v>
      </c>
      <c r="CH26" s="209">
        <f t="shared" si="22"/>
        <v>0</v>
      </c>
      <c r="CI26" s="930">
        <f t="shared" si="23"/>
        <v>1.2</v>
      </c>
      <c r="CJ26" s="998">
        <f t="shared" si="24"/>
        <v>0</v>
      </c>
      <c r="CK26" s="1000">
        <f>Matryca!Q26</f>
        <v>0</v>
      </c>
      <c r="CL26" s="1001">
        <f>Matryca!R26</f>
        <v>1</v>
      </c>
      <c r="CM26" s="1002">
        <f>Matryca!S26</f>
        <v>1</v>
      </c>
    </row>
    <row r="27" spans="1:91" s="44" customFormat="1" ht="30" customHeight="1" x14ac:dyDescent="0.25">
      <c r="A27" s="46">
        <v>8</v>
      </c>
      <c r="B27" s="31"/>
      <c r="C27" s="46" t="s">
        <v>107</v>
      </c>
      <c r="D27" s="46"/>
      <c r="E27" s="47">
        <v>1</v>
      </c>
      <c r="F27" s="46" t="s">
        <v>107</v>
      </c>
      <c r="G27" s="46" t="s">
        <v>59</v>
      </c>
      <c r="H27" s="33"/>
      <c r="I27" s="118" t="s">
        <v>434</v>
      </c>
      <c r="J27" s="118"/>
      <c r="K27" s="118"/>
      <c r="L27" s="122" t="s">
        <v>418</v>
      </c>
      <c r="M27" s="192">
        <f t="shared" si="0"/>
        <v>80</v>
      </c>
      <c r="N27" s="50">
        <f t="shared" si="1"/>
        <v>60</v>
      </c>
      <c r="O27" s="51">
        <f t="shared" si="2"/>
        <v>20</v>
      </c>
      <c r="P27" s="415">
        <f t="shared" si="3"/>
        <v>20</v>
      </c>
      <c r="Q27" s="52">
        <f t="shared" si="4"/>
        <v>3</v>
      </c>
      <c r="R27" s="38">
        <f t="shared" si="17"/>
        <v>0</v>
      </c>
      <c r="S27" s="76">
        <f t="shared" si="18"/>
        <v>0</v>
      </c>
      <c r="T27" s="39">
        <f t="shared" si="19"/>
        <v>1.5</v>
      </c>
      <c r="U27" s="40">
        <f t="shared" si="20"/>
        <v>0.75</v>
      </c>
      <c r="V27" s="201" t="s">
        <v>99</v>
      </c>
      <c r="W27" s="43" t="s">
        <v>99</v>
      </c>
      <c r="X27" s="202"/>
      <c r="Y27" s="53">
        <f t="shared" si="5"/>
        <v>0</v>
      </c>
      <c r="Z27" s="54">
        <f t="shared" si="6"/>
        <v>0</v>
      </c>
      <c r="AA27" s="419">
        <f t="shared" si="7"/>
        <v>0</v>
      </c>
      <c r="AB27" s="260"/>
      <c r="AC27" s="277"/>
      <c r="AD27" s="265"/>
      <c r="AE27" s="265"/>
      <c r="AF27" s="265"/>
      <c r="AG27" s="265"/>
      <c r="AH27" s="265"/>
      <c r="AI27" s="265"/>
      <c r="AJ27" s="265"/>
      <c r="AK27" s="265"/>
      <c r="AL27" s="265"/>
      <c r="AM27" s="265"/>
      <c r="AN27" s="265"/>
      <c r="AO27" s="265"/>
      <c r="AP27" s="265"/>
      <c r="AQ27" s="265"/>
      <c r="AR27" s="278"/>
      <c r="AS27" s="279"/>
      <c r="AT27" s="30" t="s">
        <v>99</v>
      </c>
      <c r="AU27" s="202">
        <v>3</v>
      </c>
      <c r="AV27" s="49">
        <f t="shared" si="8"/>
        <v>80</v>
      </c>
      <c r="AW27" s="54">
        <f t="shared" si="9"/>
        <v>20</v>
      </c>
      <c r="AX27" s="427">
        <f t="shared" si="10"/>
        <v>20</v>
      </c>
      <c r="AY27" s="265">
        <v>10</v>
      </c>
      <c r="AZ27" s="277">
        <v>10</v>
      </c>
      <c r="BA27" s="265"/>
      <c r="BB27" s="265">
        <v>10</v>
      </c>
      <c r="BC27" s="265"/>
      <c r="BD27" s="265"/>
      <c r="BE27" s="265"/>
      <c r="BF27" s="265"/>
      <c r="BG27" s="265"/>
      <c r="BH27" s="265"/>
      <c r="BI27" s="265"/>
      <c r="BJ27" s="265"/>
      <c r="BK27" s="265"/>
      <c r="BL27" s="265"/>
      <c r="BM27" s="265"/>
      <c r="BN27" s="265"/>
      <c r="BO27" s="278"/>
      <c r="BP27" s="290">
        <v>60</v>
      </c>
      <c r="BQ27" s="141">
        <f t="shared" si="11"/>
        <v>26.666666666666668</v>
      </c>
      <c r="BR27" s="209" t="str">
        <f t="shared" si="12"/>
        <v>Wartość prawidłowa</v>
      </c>
      <c r="BS27" s="926">
        <f t="shared" ref="BS27:BS89" si="53">SUM(AB27,AD27:AP27,AY27,BA27:BM27)-AC27-AZ27-AO27-BL27</f>
        <v>10</v>
      </c>
      <c r="BT27" s="118">
        <f t="shared" ref="BT27:BT89" si="54">AC27+AZ27</f>
        <v>10</v>
      </c>
      <c r="BU27" s="118">
        <f t="shared" ref="BU27:BU89" si="55">AO27+BL27</f>
        <v>0</v>
      </c>
      <c r="BV27" s="118">
        <f t="shared" ref="BV27:BV89" si="56">AR27+BO27</f>
        <v>0</v>
      </c>
      <c r="BW27" s="118">
        <f t="shared" ref="BW27:BW89" si="57">N27</f>
        <v>60</v>
      </c>
      <c r="BX27" s="209">
        <f t="shared" ref="BX27:BX89" si="58">AQ27+BN27</f>
        <v>0</v>
      </c>
      <c r="BY27" s="927">
        <f t="shared" ref="BY27:BY89" si="59">SUM(BS27:BX27)</f>
        <v>80</v>
      </c>
      <c r="BZ27" s="928">
        <f t="shared" ref="BZ27:BZ89" si="60">IFERROR((BS27*Q27)/BY27," ")</f>
        <v>0.375</v>
      </c>
      <c r="CA27" s="929">
        <f t="shared" ref="CA27:CA89" si="61">IFERROR((BT27*Q27)/BY27," ")</f>
        <v>0.375</v>
      </c>
      <c r="CB27" s="929">
        <f t="shared" ref="CB27:CB89" si="62">IFERROR((BU27*Q27)/BY27," ")</f>
        <v>0</v>
      </c>
      <c r="CC27" s="929">
        <f t="shared" ref="CC27:CC89" si="63">IFERROR((BV27*Q27)/BY27," ")</f>
        <v>0</v>
      </c>
      <c r="CD27" s="929">
        <f t="shared" ref="CD27:CD89" si="64">IFERROR((BW27*Q27)/BY27," ")</f>
        <v>2.25</v>
      </c>
      <c r="CE27" s="949">
        <f t="shared" ref="CE27:CE89" si="65">IFERROR((BX27*Q27)/BY27," ")</f>
        <v>0</v>
      </c>
      <c r="CF27" s="963">
        <f t="shared" ref="CF27:CF89" si="66">IFERROR((SUM(BZ27:CE27))," ")</f>
        <v>3</v>
      </c>
      <c r="CG27" s="957">
        <f t="shared" si="21"/>
        <v>20</v>
      </c>
      <c r="CH27" s="209">
        <f t="shared" si="22"/>
        <v>10</v>
      </c>
      <c r="CI27" s="930">
        <f t="shared" si="23"/>
        <v>0.75</v>
      </c>
      <c r="CJ27" s="998">
        <f t="shared" si="24"/>
        <v>0.375</v>
      </c>
      <c r="CK27" s="1000">
        <f>Matryca!Q27</f>
        <v>2</v>
      </c>
      <c r="CL27" s="1001">
        <f>Matryca!R27</f>
        <v>1</v>
      </c>
      <c r="CM27" s="1002">
        <f>Matryca!S27</f>
        <v>1</v>
      </c>
    </row>
    <row r="28" spans="1:91" s="44" customFormat="1" ht="44.25" customHeight="1" x14ac:dyDescent="0.25">
      <c r="A28" s="46">
        <v>9</v>
      </c>
      <c r="B28" s="31"/>
      <c r="C28" s="46" t="s">
        <v>107</v>
      </c>
      <c r="D28" s="46"/>
      <c r="E28" s="47">
        <v>1</v>
      </c>
      <c r="F28" s="46" t="s">
        <v>107</v>
      </c>
      <c r="G28" s="46" t="s">
        <v>59</v>
      </c>
      <c r="H28" s="33"/>
      <c r="I28" s="1088" t="s">
        <v>649</v>
      </c>
      <c r="J28" s="118"/>
      <c r="K28" s="118"/>
      <c r="L28" s="122" t="s">
        <v>418</v>
      </c>
      <c r="M28" s="192">
        <f t="shared" si="0"/>
        <v>100</v>
      </c>
      <c r="N28" s="50">
        <f t="shared" si="1"/>
        <v>65</v>
      </c>
      <c r="O28" s="51">
        <f t="shared" si="2"/>
        <v>35</v>
      </c>
      <c r="P28" s="415">
        <f t="shared" si="3"/>
        <v>35</v>
      </c>
      <c r="Q28" s="52">
        <f t="shared" si="4"/>
        <v>4</v>
      </c>
      <c r="R28" s="38">
        <f t="shared" si="17"/>
        <v>0</v>
      </c>
      <c r="S28" s="76">
        <f t="shared" si="18"/>
        <v>0</v>
      </c>
      <c r="T28" s="39">
        <f t="shared" si="19"/>
        <v>1.1428571428571428</v>
      </c>
      <c r="U28" s="40">
        <f t="shared" si="20"/>
        <v>1.4</v>
      </c>
      <c r="V28" s="201" t="s">
        <v>56</v>
      </c>
      <c r="W28" s="43" t="s">
        <v>99</v>
      </c>
      <c r="X28" s="202">
        <v>4</v>
      </c>
      <c r="Y28" s="53">
        <f t="shared" si="5"/>
        <v>100</v>
      </c>
      <c r="Z28" s="54">
        <f t="shared" si="6"/>
        <v>35</v>
      </c>
      <c r="AA28" s="419">
        <f t="shared" si="7"/>
        <v>35</v>
      </c>
      <c r="AB28" s="260">
        <v>10</v>
      </c>
      <c r="AC28" s="277">
        <v>10</v>
      </c>
      <c r="AD28" s="265"/>
      <c r="AE28" s="265"/>
      <c r="AF28" s="265"/>
      <c r="AG28" s="265"/>
      <c r="AH28" s="265"/>
      <c r="AI28" s="265"/>
      <c r="AJ28" s="265">
        <v>25</v>
      </c>
      <c r="AK28" s="265"/>
      <c r="AL28" s="265"/>
      <c r="AM28" s="265"/>
      <c r="AN28" s="265"/>
      <c r="AO28" s="265"/>
      <c r="AP28" s="265"/>
      <c r="AQ28" s="265"/>
      <c r="AR28" s="278"/>
      <c r="AS28" s="279">
        <v>65</v>
      </c>
      <c r="AT28" s="30"/>
      <c r="AU28" s="202"/>
      <c r="AV28" s="49">
        <f t="shared" si="8"/>
        <v>0</v>
      </c>
      <c r="AW28" s="54">
        <f t="shared" si="9"/>
        <v>0</v>
      </c>
      <c r="AX28" s="427">
        <f t="shared" si="10"/>
        <v>0</v>
      </c>
      <c r="AY28" s="265"/>
      <c r="AZ28" s="277"/>
      <c r="BA28" s="265"/>
      <c r="BB28" s="265"/>
      <c r="BC28" s="265"/>
      <c r="BD28" s="265"/>
      <c r="BE28" s="265"/>
      <c r="BF28" s="265"/>
      <c r="BG28" s="265"/>
      <c r="BH28" s="265"/>
      <c r="BI28" s="265"/>
      <c r="BJ28" s="265"/>
      <c r="BK28" s="265"/>
      <c r="BL28" s="265"/>
      <c r="BM28" s="265"/>
      <c r="BN28" s="265"/>
      <c r="BO28" s="278"/>
      <c r="BP28" s="290"/>
      <c r="BQ28" s="141">
        <f t="shared" si="11"/>
        <v>25</v>
      </c>
      <c r="BR28" s="209" t="str">
        <f t="shared" si="12"/>
        <v>Wartość prawidłowa</v>
      </c>
      <c r="BS28" s="926">
        <f t="shared" si="53"/>
        <v>25</v>
      </c>
      <c r="BT28" s="118">
        <f t="shared" si="54"/>
        <v>10</v>
      </c>
      <c r="BU28" s="118">
        <f t="shared" si="55"/>
        <v>0</v>
      </c>
      <c r="BV28" s="118">
        <f t="shared" si="56"/>
        <v>0</v>
      </c>
      <c r="BW28" s="118">
        <f t="shared" si="57"/>
        <v>65</v>
      </c>
      <c r="BX28" s="209">
        <f t="shared" si="58"/>
        <v>0</v>
      </c>
      <c r="BY28" s="927">
        <f t="shared" si="59"/>
        <v>100</v>
      </c>
      <c r="BZ28" s="928">
        <f t="shared" si="60"/>
        <v>1</v>
      </c>
      <c r="CA28" s="929">
        <f t="shared" si="61"/>
        <v>0.4</v>
      </c>
      <c r="CB28" s="929">
        <f t="shared" si="62"/>
        <v>0</v>
      </c>
      <c r="CC28" s="929">
        <f t="shared" si="63"/>
        <v>0</v>
      </c>
      <c r="CD28" s="929">
        <f t="shared" si="64"/>
        <v>2.6</v>
      </c>
      <c r="CE28" s="949">
        <f t="shared" si="65"/>
        <v>0</v>
      </c>
      <c r="CF28" s="963">
        <f t="shared" si="66"/>
        <v>4</v>
      </c>
      <c r="CG28" s="957">
        <f t="shared" si="21"/>
        <v>35</v>
      </c>
      <c r="CH28" s="209">
        <f t="shared" si="22"/>
        <v>10</v>
      </c>
      <c r="CI28" s="930">
        <f t="shared" si="23"/>
        <v>1.4</v>
      </c>
      <c r="CJ28" s="998">
        <f t="shared" si="24"/>
        <v>0.4</v>
      </c>
      <c r="CK28" s="1000">
        <f>Matryca!Q28</f>
        <v>2</v>
      </c>
      <c r="CL28" s="1001">
        <f>Matryca!R28</f>
        <v>2</v>
      </c>
      <c r="CM28" s="1002">
        <f>Matryca!S28</f>
        <v>1</v>
      </c>
    </row>
    <row r="29" spans="1:91" s="44" customFormat="1" ht="30" customHeight="1" x14ac:dyDescent="0.25">
      <c r="A29" s="46">
        <v>10</v>
      </c>
      <c r="B29" s="31"/>
      <c r="C29" s="46" t="s">
        <v>107</v>
      </c>
      <c r="D29" s="46"/>
      <c r="E29" s="47">
        <v>1</v>
      </c>
      <c r="F29" s="46" t="s">
        <v>107</v>
      </c>
      <c r="G29" s="46" t="s">
        <v>59</v>
      </c>
      <c r="H29" s="33"/>
      <c r="I29" s="118" t="s">
        <v>436</v>
      </c>
      <c r="J29" s="118"/>
      <c r="K29" s="118"/>
      <c r="L29" s="122" t="s">
        <v>418</v>
      </c>
      <c r="M29" s="192">
        <f t="shared" si="0"/>
        <v>25</v>
      </c>
      <c r="N29" s="50">
        <f t="shared" si="1"/>
        <v>10</v>
      </c>
      <c r="O29" s="51">
        <f t="shared" si="2"/>
        <v>15</v>
      </c>
      <c r="P29" s="415">
        <f t="shared" si="3"/>
        <v>15</v>
      </c>
      <c r="Q29" s="52">
        <f t="shared" si="4"/>
        <v>1</v>
      </c>
      <c r="R29" s="38">
        <f t="shared" si="17"/>
        <v>0</v>
      </c>
      <c r="S29" s="76">
        <f t="shared" si="18"/>
        <v>0</v>
      </c>
      <c r="T29" s="39">
        <f t="shared" si="19"/>
        <v>0.33333333333333331</v>
      </c>
      <c r="U29" s="40">
        <f t="shared" si="20"/>
        <v>0.6</v>
      </c>
      <c r="V29" s="201" t="s">
        <v>99</v>
      </c>
      <c r="W29" s="43"/>
      <c r="X29" s="202"/>
      <c r="Y29" s="53">
        <f t="shared" si="5"/>
        <v>0</v>
      </c>
      <c r="Z29" s="54">
        <f t="shared" si="6"/>
        <v>0</v>
      </c>
      <c r="AA29" s="419">
        <f t="shared" si="7"/>
        <v>0</v>
      </c>
      <c r="AB29" s="260"/>
      <c r="AC29" s="277"/>
      <c r="AD29" s="265"/>
      <c r="AE29" s="265"/>
      <c r="AF29" s="265"/>
      <c r="AG29" s="265"/>
      <c r="AH29" s="265"/>
      <c r="AI29" s="265"/>
      <c r="AJ29" s="265"/>
      <c r="AK29" s="265"/>
      <c r="AL29" s="265"/>
      <c r="AM29" s="265"/>
      <c r="AN29" s="265"/>
      <c r="AO29" s="265"/>
      <c r="AP29" s="265"/>
      <c r="AQ29" s="265"/>
      <c r="AR29" s="278"/>
      <c r="AS29" s="279"/>
      <c r="AT29" s="43" t="s">
        <v>99</v>
      </c>
      <c r="AU29" s="202">
        <v>1</v>
      </c>
      <c r="AV29" s="49">
        <f t="shared" ref="AV29" si="67">BP29+AW29</f>
        <v>25</v>
      </c>
      <c r="AW29" s="54">
        <f t="shared" ref="AW29" si="68">BO29+AX29</f>
        <v>15</v>
      </c>
      <c r="AX29" s="427">
        <f t="shared" ref="AX29" si="69">(SUM(AY29:BN29))-AZ29</f>
        <v>15</v>
      </c>
      <c r="AY29" s="260">
        <v>5</v>
      </c>
      <c r="AZ29" s="277">
        <v>5</v>
      </c>
      <c r="BA29" s="265"/>
      <c r="BB29" s="265"/>
      <c r="BC29" s="265"/>
      <c r="BD29" s="265"/>
      <c r="BE29" s="265">
        <v>10</v>
      </c>
      <c r="BF29" s="265"/>
      <c r="BG29" s="265"/>
      <c r="BH29" s="265"/>
      <c r="BI29" s="265"/>
      <c r="BJ29" s="265"/>
      <c r="BK29" s="265"/>
      <c r="BL29" s="265"/>
      <c r="BM29" s="265"/>
      <c r="BN29" s="265"/>
      <c r="BO29" s="278"/>
      <c r="BP29" s="279">
        <v>10</v>
      </c>
      <c r="BQ29" s="141">
        <f t="shared" si="11"/>
        <v>25</v>
      </c>
      <c r="BR29" s="209" t="str">
        <f t="shared" si="12"/>
        <v>Wartość prawidłowa</v>
      </c>
      <c r="BS29" s="926">
        <f t="shared" si="53"/>
        <v>10</v>
      </c>
      <c r="BT29" s="118">
        <f t="shared" si="54"/>
        <v>5</v>
      </c>
      <c r="BU29" s="118">
        <f t="shared" si="55"/>
        <v>0</v>
      </c>
      <c r="BV29" s="118">
        <f t="shared" si="56"/>
        <v>0</v>
      </c>
      <c r="BW29" s="118">
        <f t="shared" si="57"/>
        <v>10</v>
      </c>
      <c r="BX29" s="209">
        <f t="shared" si="58"/>
        <v>0</v>
      </c>
      <c r="BY29" s="927">
        <f t="shared" si="59"/>
        <v>25</v>
      </c>
      <c r="BZ29" s="928">
        <f t="shared" si="60"/>
        <v>0.4</v>
      </c>
      <c r="CA29" s="929">
        <f t="shared" si="61"/>
        <v>0.2</v>
      </c>
      <c r="CB29" s="929">
        <f t="shared" si="62"/>
        <v>0</v>
      </c>
      <c r="CC29" s="929">
        <f t="shared" si="63"/>
        <v>0</v>
      </c>
      <c r="CD29" s="929">
        <f t="shared" si="64"/>
        <v>0.4</v>
      </c>
      <c r="CE29" s="949">
        <f t="shared" si="65"/>
        <v>0</v>
      </c>
      <c r="CF29" s="963">
        <f t="shared" si="66"/>
        <v>1</v>
      </c>
      <c r="CG29" s="957">
        <f t="shared" si="21"/>
        <v>15</v>
      </c>
      <c r="CH29" s="209">
        <f t="shared" si="22"/>
        <v>5</v>
      </c>
      <c r="CI29" s="930">
        <f t="shared" si="23"/>
        <v>0.60000000000000009</v>
      </c>
      <c r="CJ29" s="998">
        <f t="shared" si="24"/>
        <v>0.2</v>
      </c>
      <c r="CK29" s="1000">
        <f>Matryca!Q29</f>
        <v>0</v>
      </c>
      <c r="CL29" s="1001">
        <f>Matryca!R29</f>
        <v>2</v>
      </c>
      <c r="CM29" s="1002">
        <f>Matryca!S29</f>
        <v>1</v>
      </c>
    </row>
    <row r="30" spans="1:91" s="44" customFormat="1" ht="30" customHeight="1" x14ac:dyDescent="0.25">
      <c r="A30" s="46">
        <v>11</v>
      </c>
      <c r="B30" s="31"/>
      <c r="C30" s="46" t="s">
        <v>107</v>
      </c>
      <c r="D30" s="46"/>
      <c r="E30" s="47">
        <v>1</v>
      </c>
      <c r="F30" s="46" t="s">
        <v>107</v>
      </c>
      <c r="G30" s="46" t="s">
        <v>59</v>
      </c>
      <c r="H30" s="33"/>
      <c r="I30" s="118" t="s">
        <v>445</v>
      </c>
      <c r="J30" s="118"/>
      <c r="K30" s="118"/>
      <c r="L30" s="122" t="s">
        <v>418</v>
      </c>
      <c r="M30" s="192">
        <f t="shared" si="0"/>
        <v>50</v>
      </c>
      <c r="N30" s="50">
        <f t="shared" si="1"/>
        <v>20</v>
      </c>
      <c r="O30" s="51">
        <f t="shared" si="2"/>
        <v>30</v>
      </c>
      <c r="P30" s="415">
        <f t="shared" si="3"/>
        <v>30</v>
      </c>
      <c r="Q30" s="52">
        <f t="shared" si="4"/>
        <v>2</v>
      </c>
      <c r="R30" s="38">
        <f t="shared" si="17"/>
        <v>0</v>
      </c>
      <c r="S30" s="76">
        <f t="shared" si="18"/>
        <v>0</v>
      </c>
      <c r="T30" s="39">
        <f t="shared" si="19"/>
        <v>0</v>
      </c>
      <c r="U30" s="40">
        <f t="shared" si="20"/>
        <v>1.2</v>
      </c>
      <c r="V30" s="201" t="s">
        <v>99</v>
      </c>
      <c r="W30" s="43" t="s">
        <v>99</v>
      </c>
      <c r="X30" s="202"/>
      <c r="Y30" s="53">
        <f t="shared" si="5"/>
        <v>0</v>
      </c>
      <c r="Z30" s="54">
        <f t="shared" si="6"/>
        <v>0</v>
      </c>
      <c r="AA30" s="419">
        <f t="shared" si="7"/>
        <v>0</v>
      </c>
      <c r="AB30" s="260"/>
      <c r="AC30" s="277"/>
      <c r="AD30" s="265"/>
      <c r="AE30" s="265"/>
      <c r="AF30" s="265"/>
      <c r="AG30" s="265"/>
      <c r="AH30" s="265"/>
      <c r="AI30" s="265"/>
      <c r="AJ30" s="265"/>
      <c r="AK30" s="265"/>
      <c r="AL30" s="265"/>
      <c r="AM30" s="265"/>
      <c r="AN30" s="265"/>
      <c r="AO30" s="265"/>
      <c r="AP30" s="265"/>
      <c r="AQ30" s="265"/>
      <c r="AR30" s="278"/>
      <c r="AS30" s="279"/>
      <c r="AT30" s="30" t="s">
        <v>99</v>
      </c>
      <c r="AU30" s="202">
        <v>2</v>
      </c>
      <c r="AV30" s="49">
        <f t="shared" si="8"/>
        <v>50</v>
      </c>
      <c r="AW30" s="54">
        <f t="shared" si="9"/>
        <v>30</v>
      </c>
      <c r="AX30" s="427">
        <f t="shared" si="10"/>
        <v>30</v>
      </c>
      <c r="AY30" s="265"/>
      <c r="AZ30" s="277"/>
      <c r="BA30" s="265"/>
      <c r="BB30" s="265"/>
      <c r="BC30" s="265">
        <v>30</v>
      </c>
      <c r="BD30" s="265"/>
      <c r="BE30" s="265"/>
      <c r="BF30" s="265"/>
      <c r="BG30" s="265"/>
      <c r="BH30" s="265"/>
      <c r="BI30" s="265"/>
      <c r="BJ30" s="265"/>
      <c r="BK30" s="265"/>
      <c r="BL30" s="265"/>
      <c r="BM30" s="265"/>
      <c r="BN30" s="265"/>
      <c r="BO30" s="278"/>
      <c r="BP30" s="279">
        <v>20</v>
      </c>
      <c r="BQ30" s="141">
        <f t="shared" si="11"/>
        <v>25</v>
      </c>
      <c r="BR30" s="209" t="str">
        <f t="shared" si="12"/>
        <v>Wartość prawidłowa</v>
      </c>
      <c r="BS30" s="926">
        <f t="shared" si="53"/>
        <v>30</v>
      </c>
      <c r="BT30" s="118">
        <f t="shared" si="54"/>
        <v>0</v>
      </c>
      <c r="BU30" s="118">
        <f t="shared" si="55"/>
        <v>0</v>
      </c>
      <c r="BV30" s="118">
        <f t="shared" si="56"/>
        <v>0</v>
      </c>
      <c r="BW30" s="118">
        <f t="shared" si="57"/>
        <v>20</v>
      </c>
      <c r="BX30" s="209">
        <f t="shared" si="58"/>
        <v>0</v>
      </c>
      <c r="BY30" s="927">
        <f t="shared" si="59"/>
        <v>50</v>
      </c>
      <c r="BZ30" s="928">
        <f t="shared" si="60"/>
        <v>1.2</v>
      </c>
      <c r="CA30" s="929">
        <f t="shared" si="61"/>
        <v>0</v>
      </c>
      <c r="CB30" s="929">
        <f t="shared" si="62"/>
        <v>0</v>
      </c>
      <c r="CC30" s="929">
        <f t="shared" si="63"/>
        <v>0</v>
      </c>
      <c r="CD30" s="929">
        <f t="shared" si="64"/>
        <v>0.8</v>
      </c>
      <c r="CE30" s="949">
        <f t="shared" si="65"/>
        <v>0</v>
      </c>
      <c r="CF30" s="963">
        <f t="shared" si="66"/>
        <v>2</v>
      </c>
      <c r="CG30" s="957">
        <f t="shared" si="21"/>
        <v>30</v>
      </c>
      <c r="CH30" s="209">
        <f t="shared" si="22"/>
        <v>0</v>
      </c>
      <c r="CI30" s="930">
        <f t="shared" si="23"/>
        <v>1.2</v>
      </c>
      <c r="CJ30" s="998">
        <f t="shared" si="24"/>
        <v>0</v>
      </c>
      <c r="CK30" s="1000">
        <f>Matryca!Q30</f>
        <v>1</v>
      </c>
      <c r="CL30" s="1001">
        <f>Matryca!R30</f>
        <v>1</v>
      </c>
      <c r="CM30" s="1002">
        <f>Matryca!S30</f>
        <v>2</v>
      </c>
    </row>
    <row r="31" spans="1:91" s="44" customFormat="1" ht="94.5" x14ac:dyDescent="0.25">
      <c r="A31" s="46">
        <v>12</v>
      </c>
      <c r="B31" s="31"/>
      <c r="C31" s="46" t="s">
        <v>107</v>
      </c>
      <c r="D31" s="46"/>
      <c r="E31" s="47">
        <v>1</v>
      </c>
      <c r="F31" s="46" t="s">
        <v>107</v>
      </c>
      <c r="G31" s="46" t="s">
        <v>60</v>
      </c>
      <c r="H31" s="33"/>
      <c r="I31" s="876" t="s">
        <v>955</v>
      </c>
      <c r="J31" s="118"/>
      <c r="K31" s="118"/>
      <c r="L31" s="122" t="s">
        <v>418</v>
      </c>
      <c r="M31" s="192">
        <f t="shared" ref="M31:M39" si="70">Y31+AV31</f>
        <v>50</v>
      </c>
      <c r="N31" s="50">
        <f t="shared" ref="N31:N39" si="71">AS31+BP31</f>
        <v>10</v>
      </c>
      <c r="O31" s="51">
        <f t="shared" ref="O31:O39" si="72">Z31+AW31</f>
        <v>40</v>
      </c>
      <c r="P31" s="415">
        <f t="shared" ref="P31:P39" si="73">AA31+AX31</f>
        <v>40</v>
      </c>
      <c r="Q31" s="52">
        <f t="shared" ref="Q31:Q39" si="74">X31+AU31</f>
        <v>2</v>
      </c>
      <c r="R31" s="38">
        <f t="shared" ref="R31:R39" si="75">IFERROR((AL31+BI31)*Q31/O31," ")</f>
        <v>0</v>
      </c>
      <c r="S31" s="76">
        <f t="shared" si="18"/>
        <v>0</v>
      </c>
      <c r="T31" s="39">
        <f t="shared" ref="T31:T39" si="76">IFERROR((AC31+AO31+AZ31+BL31)*Q31/O31," ")</f>
        <v>0</v>
      </c>
      <c r="U31" s="40">
        <f t="shared" si="20"/>
        <v>1.6</v>
      </c>
      <c r="V31" s="201" t="s">
        <v>99</v>
      </c>
      <c r="W31" s="30" t="s">
        <v>99</v>
      </c>
      <c r="X31" s="202">
        <v>2</v>
      </c>
      <c r="Y31" s="53">
        <f t="shared" ref="Y31:Y38" si="77">AS31+Z31</f>
        <v>50</v>
      </c>
      <c r="Z31" s="54">
        <f t="shared" ref="Z31:Z38" si="78">AR31+AA31</f>
        <v>40</v>
      </c>
      <c r="AA31" s="419">
        <f t="shared" ref="AA31:AA38" si="79">(SUM(AB31:AQ31))-AC31</f>
        <v>40</v>
      </c>
      <c r="AB31" s="265"/>
      <c r="AC31" s="277"/>
      <c r="AD31" s="265"/>
      <c r="AE31" s="265">
        <v>40</v>
      </c>
      <c r="AF31" s="265"/>
      <c r="AG31" s="265"/>
      <c r="AH31" s="265"/>
      <c r="AI31" s="265"/>
      <c r="AJ31" s="265"/>
      <c r="AK31" s="265"/>
      <c r="AL31" s="265"/>
      <c r="AM31" s="265"/>
      <c r="AN31" s="265"/>
      <c r="AO31" s="265"/>
      <c r="AP31" s="265"/>
      <c r="AQ31" s="265"/>
      <c r="AR31" s="278"/>
      <c r="AS31" s="290">
        <v>10</v>
      </c>
      <c r="AT31" s="30"/>
      <c r="AU31" s="202"/>
      <c r="AV31" s="49">
        <f t="shared" ref="AV31:AV39" si="80">BP31+AW31</f>
        <v>0</v>
      </c>
      <c r="AW31" s="54">
        <f t="shared" ref="AW31:AW39" si="81">BO31+AX31</f>
        <v>0</v>
      </c>
      <c r="AX31" s="427">
        <f t="shared" ref="AX31:AX39" si="82">(SUM(AY31:BN31))-AZ31</f>
        <v>0</v>
      </c>
      <c r="AY31" s="265"/>
      <c r="AZ31" s="277"/>
      <c r="BA31" s="265"/>
      <c r="BB31" s="265"/>
      <c r="BC31" s="265"/>
      <c r="BD31" s="265"/>
      <c r="BE31" s="265"/>
      <c r="BF31" s="265"/>
      <c r="BG31" s="265"/>
      <c r="BH31" s="265"/>
      <c r="BI31" s="265"/>
      <c r="BJ31" s="265"/>
      <c r="BK31" s="265"/>
      <c r="BL31" s="265"/>
      <c r="BM31" s="265"/>
      <c r="BN31" s="265"/>
      <c r="BO31" s="278"/>
      <c r="BP31" s="290"/>
      <c r="BQ31" s="141">
        <f t="shared" si="11"/>
        <v>25</v>
      </c>
      <c r="BR31" s="209" t="str">
        <f t="shared" si="12"/>
        <v>Wartość prawidłowa</v>
      </c>
      <c r="BS31" s="926">
        <f t="shared" si="53"/>
        <v>40</v>
      </c>
      <c r="BT31" s="118">
        <f t="shared" si="54"/>
        <v>0</v>
      </c>
      <c r="BU31" s="118">
        <f t="shared" si="55"/>
        <v>0</v>
      </c>
      <c r="BV31" s="118">
        <f t="shared" si="56"/>
        <v>0</v>
      </c>
      <c r="BW31" s="118">
        <f t="shared" si="57"/>
        <v>10</v>
      </c>
      <c r="BX31" s="209">
        <f t="shared" si="58"/>
        <v>0</v>
      </c>
      <c r="BY31" s="927">
        <f t="shared" si="59"/>
        <v>50</v>
      </c>
      <c r="BZ31" s="928">
        <f t="shared" si="60"/>
        <v>1.6</v>
      </c>
      <c r="CA31" s="929">
        <f t="shared" si="61"/>
        <v>0</v>
      </c>
      <c r="CB31" s="929">
        <f t="shared" si="62"/>
        <v>0</v>
      </c>
      <c r="CC31" s="929">
        <f t="shared" si="63"/>
        <v>0</v>
      </c>
      <c r="CD31" s="929">
        <f t="shared" si="64"/>
        <v>0.4</v>
      </c>
      <c r="CE31" s="949">
        <f t="shared" si="65"/>
        <v>0</v>
      </c>
      <c r="CF31" s="963">
        <f t="shared" si="66"/>
        <v>2</v>
      </c>
      <c r="CG31" s="957">
        <f t="shared" si="21"/>
        <v>40</v>
      </c>
      <c r="CH31" s="209">
        <f t="shared" si="22"/>
        <v>0</v>
      </c>
      <c r="CI31" s="930">
        <f t="shared" si="23"/>
        <v>1.6</v>
      </c>
      <c r="CJ31" s="998">
        <f t="shared" si="24"/>
        <v>0</v>
      </c>
      <c r="CK31" s="1000">
        <f>Matryca!Q31</f>
        <v>0</v>
      </c>
      <c r="CL31" s="1001">
        <f>Matryca!R31</f>
        <v>0</v>
      </c>
      <c r="CM31" s="1002">
        <f>Matryca!S31</f>
        <v>0</v>
      </c>
    </row>
    <row r="32" spans="1:91" s="44" customFormat="1" ht="90" customHeight="1" x14ac:dyDescent="0.25">
      <c r="A32" s="46">
        <v>13</v>
      </c>
      <c r="B32" s="31"/>
      <c r="C32" s="46" t="s">
        <v>107</v>
      </c>
      <c r="D32" s="46"/>
      <c r="E32" s="47">
        <v>1</v>
      </c>
      <c r="F32" s="46" t="s">
        <v>107</v>
      </c>
      <c r="G32" s="46" t="s">
        <v>60</v>
      </c>
      <c r="H32" s="33"/>
      <c r="I32" s="876" t="s">
        <v>954</v>
      </c>
      <c r="J32" s="118"/>
      <c r="K32" s="118"/>
      <c r="L32" s="122" t="s">
        <v>418</v>
      </c>
      <c r="M32" s="192">
        <f t="shared" si="70"/>
        <v>50</v>
      </c>
      <c r="N32" s="50">
        <f t="shared" si="71"/>
        <v>10</v>
      </c>
      <c r="O32" s="51">
        <f t="shared" si="72"/>
        <v>40</v>
      </c>
      <c r="P32" s="415">
        <f t="shared" si="73"/>
        <v>40</v>
      </c>
      <c r="Q32" s="52">
        <f t="shared" si="74"/>
        <v>2</v>
      </c>
      <c r="R32" s="38">
        <f t="shared" si="75"/>
        <v>0</v>
      </c>
      <c r="S32" s="76">
        <f t="shared" si="18"/>
        <v>0</v>
      </c>
      <c r="T32" s="39">
        <f t="shared" si="76"/>
        <v>0.5</v>
      </c>
      <c r="U32" s="40">
        <f t="shared" si="20"/>
        <v>1.6</v>
      </c>
      <c r="V32" s="201" t="s">
        <v>99</v>
      </c>
      <c r="W32" s="43"/>
      <c r="X32" s="155"/>
      <c r="Y32" s="53">
        <f t="shared" si="77"/>
        <v>0</v>
      </c>
      <c r="Z32" s="54">
        <f t="shared" si="78"/>
        <v>0</v>
      </c>
      <c r="AA32" s="419">
        <f t="shared" si="79"/>
        <v>0</v>
      </c>
      <c r="AB32" s="260"/>
      <c r="AC32" s="286"/>
      <c r="AD32" s="265"/>
      <c r="AE32" s="265"/>
      <c r="AF32" s="265"/>
      <c r="AG32" s="265"/>
      <c r="AH32" s="265"/>
      <c r="AI32" s="265"/>
      <c r="AJ32" s="265"/>
      <c r="AK32" s="265"/>
      <c r="AL32" s="265"/>
      <c r="AM32" s="265"/>
      <c r="AN32" s="265"/>
      <c r="AO32" s="265"/>
      <c r="AP32" s="265"/>
      <c r="AQ32" s="265"/>
      <c r="AR32" s="278"/>
      <c r="AS32" s="675"/>
      <c r="AT32" s="43" t="s">
        <v>99</v>
      </c>
      <c r="AU32" s="155">
        <v>2</v>
      </c>
      <c r="AV32" s="49">
        <f t="shared" si="80"/>
        <v>50</v>
      </c>
      <c r="AW32" s="54">
        <f t="shared" si="81"/>
        <v>40</v>
      </c>
      <c r="AX32" s="427">
        <f t="shared" si="82"/>
        <v>40</v>
      </c>
      <c r="AY32" s="265">
        <v>10</v>
      </c>
      <c r="AZ32" s="286">
        <v>10</v>
      </c>
      <c r="BA32" s="265"/>
      <c r="BB32" s="265">
        <v>30</v>
      </c>
      <c r="BC32" s="265"/>
      <c r="BD32" s="265"/>
      <c r="BE32" s="265"/>
      <c r="BF32" s="265"/>
      <c r="BG32" s="265"/>
      <c r="BH32" s="265"/>
      <c r="BI32" s="265"/>
      <c r="BJ32" s="265"/>
      <c r="BK32" s="265"/>
      <c r="BL32" s="265"/>
      <c r="BM32" s="265"/>
      <c r="BN32" s="265"/>
      <c r="BO32" s="278"/>
      <c r="BP32" s="675">
        <v>10</v>
      </c>
      <c r="BQ32" s="141">
        <f t="shared" ref="BQ32:BQ33" si="83">IFERROR(M32/Q32," ")</f>
        <v>25</v>
      </c>
      <c r="BR32" s="209" t="str">
        <f t="shared" ref="BR32:BR33" si="84">IF(OR(BQ32&gt;30,BQ32&lt;25),"1 ECTS powinien mieścić się przedziale 25-30h","Wartość prawidłowa")</f>
        <v>Wartość prawidłowa</v>
      </c>
      <c r="BS32" s="926">
        <f t="shared" si="53"/>
        <v>30</v>
      </c>
      <c r="BT32" s="118">
        <f t="shared" si="54"/>
        <v>10</v>
      </c>
      <c r="BU32" s="118">
        <f t="shared" si="55"/>
        <v>0</v>
      </c>
      <c r="BV32" s="118">
        <f t="shared" si="56"/>
        <v>0</v>
      </c>
      <c r="BW32" s="118">
        <f t="shared" si="57"/>
        <v>10</v>
      </c>
      <c r="BX32" s="209">
        <f t="shared" si="58"/>
        <v>0</v>
      </c>
      <c r="BY32" s="927">
        <f t="shared" si="59"/>
        <v>50</v>
      </c>
      <c r="BZ32" s="928">
        <f t="shared" si="60"/>
        <v>1.2</v>
      </c>
      <c r="CA32" s="929">
        <f t="shared" si="61"/>
        <v>0.4</v>
      </c>
      <c r="CB32" s="929">
        <f t="shared" si="62"/>
        <v>0</v>
      </c>
      <c r="CC32" s="929">
        <f t="shared" si="63"/>
        <v>0</v>
      </c>
      <c r="CD32" s="929">
        <f t="shared" si="64"/>
        <v>0.4</v>
      </c>
      <c r="CE32" s="949">
        <f t="shared" si="65"/>
        <v>0</v>
      </c>
      <c r="CF32" s="963">
        <f t="shared" si="66"/>
        <v>2</v>
      </c>
      <c r="CG32" s="957">
        <f t="shared" si="21"/>
        <v>40</v>
      </c>
      <c r="CH32" s="209">
        <f t="shared" si="22"/>
        <v>10</v>
      </c>
      <c r="CI32" s="930">
        <f t="shared" si="23"/>
        <v>1.6</v>
      </c>
      <c r="CJ32" s="998">
        <f t="shared" si="24"/>
        <v>0.4</v>
      </c>
      <c r="CK32" s="1000">
        <f>Matryca!Q32</f>
        <v>0</v>
      </c>
      <c r="CL32" s="1001">
        <f>Matryca!R32</f>
        <v>0</v>
      </c>
      <c r="CM32" s="1002">
        <f>Matryca!S32</f>
        <v>0</v>
      </c>
    </row>
    <row r="33" spans="1:91" s="44" customFormat="1" ht="30" customHeight="1" x14ac:dyDescent="0.25">
      <c r="A33" s="46">
        <v>14</v>
      </c>
      <c r="B33" s="31"/>
      <c r="C33" s="46" t="s">
        <v>107</v>
      </c>
      <c r="D33" s="46"/>
      <c r="E33" s="47">
        <v>1</v>
      </c>
      <c r="F33" s="46" t="s">
        <v>107</v>
      </c>
      <c r="G33" s="46" t="s">
        <v>59</v>
      </c>
      <c r="H33" s="33"/>
      <c r="I33" s="118" t="s">
        <v>624</v>
      </c>
      <c r="J33" s="118"/>
      <c r="K33" s="118"/>
      <c r="L33" s="122" t="s">
        <v>418</v>
      </c>
      <c r="M33" s="192">
        <f t="shared" ref="M33" si="85">Y33+AV33</f>
        <v>125</v>
      </c>
      <c r="N33" s="50">
        <f t="shared" ref="N33" si="86">AS33+BP33</f>
        <v>75</v>
      </c>
      <c r="O33" s="51">
        <f t="shared" ref="O33" si="87">Z33+AW33</f>
        <v>50</v>
      </c>
      <c r="P33" s="415">
        <f t="shared" ref="P33" si="88">AA33+AX33</f>
        <v>50</v>
      </c>
      <c r="Q33" s="52">
        <f t="shared" ref="Q33" si="89">X33+AU33</f>
        <v>5</v>
      </c>
      <c r="R33" s="38">
        <f t="shared" ref="R33" si="90">IFERROR((AL33+BI33)*Q33/O33," ")</f>
        <v>0</v>
      </c>
      <c r="S33" s="76">
        <f t="shared" ref="S33" si="91">IFERROR(IF(L33="tak",(SUM(AE33:AL33,AQ33,BB33:BI33,BN33))*Q33/O33,0),0)</f>
        <v>0</v>
      </c>
      <c r="T33" s="39">
        <f t="shared" ref="T33" si="92">IFERROR((AC33+AO33+AZ33+BL33)*Q33/O33," ")</f>
        <v>3</v>
      </c>
      <c r="U33" s="40">
        <f t="shared" ref="U33" si="93">IFERROR((SUM(AB33,AD33:AN33,AY33,BA33:BK33,AP33:AQ33,BM33:BN33)*Q33/M33)," ")</f>
        <v>2</v>
      </c>
      <c r="V33" s="201" t="s">
        <v>56</v>
      </c>
      <c r="W33" s="43" t="s">
        <v>99</v>
      </c>
      <c r="X33" s="202"/>
      <c r="Y33" s="53">
        <f t="shared" ref="Y33" si="94">AS33+Z33</f>
        <v>0</v>
      </c>
      <c r="Z33" s="54">
        <f t="shared" ref="Z33" si="95">AR33+AA33</f>
        <v>0</v>
      </c>
      <c r="AA33" s="419">
        <f t="shared" ref="AA33" si="96">(SUM(AB33:AQ33))-AC33</f>
        <v>0</v>
      </c>
      <c r="AB33" s="260"/>
      <c r="AC33" s="277"/>
      <c r="AD33" s="265"/>
      <c r="AE33" s="265"/>
      <c r="AF33" s="265"/>
      <c r="AG33" s="265"/>
      <c r="AH33" s="265"/>
      <c r="AI33" s="265"/>
      <c r="AJ33" s="265"/>
      <c r="AK33" s="265"/>
      <c r="AL33" s="265"/>
      <c r="AM33" s="265"/>
      <c r="AN33" s="265"/>
      <c r="AO33" s="265"/>
      <c r="AP33" s="265"/>
      <c r="AQ33" s="265"/>
      <c r="AR33" s="278"/>
      <c r="AS33" s="279"/>
      <c r="AT33" s="30" t="s">
        <v>99</v>
      </c>
      <c r="AU33" s="202">
        <v>5</v>
      </c>
      <c r="AV33" s="49">
        <f t="shared" ref="AV33" si="97">BP33+AW33</f>
        <v>125</v>
      </c>
      <c r="AW33" s="54">
        <f t="shared" ref="AW33" si="98">BO33+AX33</f>
        <v>50</v>
      </c>
      <c r="AX33" s="427">
        <f t="shared" ref="AX33" si="99">(SUM(AY33:BN33))-AZ33</f>
        <v>50</v>
      </c>
      <c r="AY33" s="265">
        <v>30</v>
      </c>
      <c r="AZ33" s="277">
        <v>30</v>
      </c>
      <c r="BA33" s="265"/>
      <c r="BB33" s="265">
        <v>20</v>
      </c>
      <c r="BC33" s="265"/>
      <c r="BD33" s="265"/>
      <c r="BE33" s="265"/>
      <c r="BF33" s="265"/>
      <c r="BG33" s="265"/>
      <c r="BH33" s="265"/>
      <c r="BI33" s="265"/>
      <c r="BJ33" s="265"/>
      <c r="BK33" s="265"/>
      <c r="BL33" s="265"/>
      <c r="BM33" s="265"/>
      <c r="BN33" s="265"/>
      <c r="BO33" s="278"/>
      <c r="BP33" s="279">
        <v>75</v>
      </c>
      <c r="BQ33" s="141">
        <f t="shared" si="83"/>
        <v>25</v>
      </c>
      <c r="BR33" s="209" t="str">
        <f t="shared" si="84"/>
        <v>Wartość prawidłowa</v>
      </c>
      <c r="BS33" s="926">
        <f t="shared" ref="BS33" si="100">SUM(AB33,AD33:AP33,AY33,BA33:BM33)-AC33-AZ33-AO33-BL33</f>
        <v>20</v>
      </c>
      <c r="BT33" s="118">
        <f t="shared" ref="BT33" si="101">AC33+AZ33</f>
        <v>30</v>
      </c>
      <c r="BU33" s="118">
        <f t="shared" ref="BU33" si="102">AO33+BL33</f>
        <v>0</v>
      </c>
      <c r="BV33" s="118">
        <f t="shared" ref="BV33" si="103">AR33+BO33</f>
        <v>0</v>
      </c>
      <c r="BW33" s="118">
        <f t="shared" ref="BW33" si="104">N33</f>
        <v>75</v>
      </c>
      <c r="BX33" s="209">
        <f t="shared" ref="BX33" si="105">AQ33+BN33</f>
        <v>0</v>
      </c>
      <c r="BY33" s="927">
        <f t="shared" ref="BY33" si="106">SUM(BS33:BX33)</f>
        <v>125</v>
      </c>
      <c r="BZ33" s="928">
        <f t="shared" ref="BZ33" si="107">IFERROR((BS33*Q33)/BY33," ")</f>
        <v>0.8</v>
      </c>
      <c r="CA33" s="929">
        <f t="shared" ref="CA33" si="108">IFERROR((BT33*Q33)/BY33," ")</f>
        <v>1.2</v>
      </c>
      <c r="CB33" s="929">
        <f t="shared" ref="CB33" si="109">IFERROR((BU33*Q33)/BY33," ")</f>
        <v>0</v>
      </c>
      <c r="CC33" s="929">
        <f t="shared" ref="CC33" si="110">IFERROR((BV33*Q33)/BY33," ")</f>
        <v>0</v>
      </c>
      <c r="CD33" s="929">
        <f t="shared" ref="CD33" si="111">IFERROR((BW33*Q33)/BY33," ")</f>
        <v>3</v>
      </c>
      <c r="CE33" s="949">
        <f t="shared" ref="CE33" si="112">IFERROR((BX33*Q33)/BY33," ")</f>
        <v>0</v>
      </c>
      <c r="CF33" s="963">
        <f t="shared" ref="CF33" si="113">IFERROR((SUM(BZ33:CE33))," ")</f>
        <v>5</v>
      </c>
      <c r="CG33" s="957">
        <f t="shared" ref="CG33" si="114">SUM(BS33:BT33,BX33)</f>
        <v>50</v>
      </c>
      <c r="CH33" s="209">
        <f t="shared" ref="CH33" si="115">SUM(BT33:BU33)</f>
        <v>30</v>
      </c>
      <c r="CI33" s="930">
        <f t="shared" ref="CI33" si="116">SUM(BZ33:CA33,CE33)</f>
        <v>2</v>
      </c>
      <c r="CJ33" s="998">
        <f t="shared" ref="CJ33" si="117">SUM(CA33:CB33)</f>
        <v>1.2</v>
      </c>
      <c r="CK33" s="1000">
        <f>Matryca!Q34</f>
        <v>1</v>
      </c>
      <c r="CL33" s="1001">
        <f>Matryca!R34</f>
        <v>1</v>
      </c>
      <c r="CM33" s="1002">
        <f>Matryca!S34</f>
        <v>2</v>
      </c>
    </row>
    <row r="34" spans="1:91" s="44" customFormat="1" ht="30" customHeight="1" x14ac:dyDescent="0.25">
      <c r="A34" s="46">
        <v>15</v>
      </c>
      <c r="B34" s="31"/>
      <c r="C34" s="46" t="s">
        <v>107</v>
      </c>
      <c r="D34" s="46"/>
      <c r="E34" s="47">
        <v>1</v>
      </c>
      <c r="F34" s="46" t="s">
        <v>107</v>
      </c>
      <c r="G34" s="32" t="s">
        <v>59</v>
      </c>
      <c r="H34" s="33"/>
      <c r="I34" s="118" t="s">
        <v>443</v>
      </c>
      <c r="J34" s="118"/>
      <c r="K34" s="118"/>
      <c r="L34" s="122" t="s">
        <v>418</v>
      </c>
      <c r="M34" s="192">
        <f t="shared" si="70"/>
        <v>125</v>
      </c>
      <c r="N34" s="50">
        <f t="shared" si="71"/>
        <v>75</v>
      </c>
      <c r="O34" s="51">
        <f t="shared" si="72"/>
        <v>50</v>
      </c>
      <c r="P34" s="415">
        <f t="shared" si="73"/>
        <v>50</v>
      </c>
      <c r="Q34" s="52">
        <f t="shared" si="74"/>
        <v>5</v>
      </c>
      <c r="R34" s="38">
        <f t="shared" si="75"/>
        <v>0</v>
      </c>
      <c r="S34" s="76">
        <f t="shared" si="18"/>
        <v>0</v>
      </c>
      <c r="T34" s="39">
        <f t="shared" si="76"/>
        <v>3</v>
      </c>
      <c r="U34" s="40">
        <f t="shared" si="20"/>
        <v>2</v>
      </c>
      <c r="V34" s="201" t="s">
        <v>56</v>
      </c>
      <c r="W34" s="43" t="s">
        <v>99</v>
      </c>
      <c r="X34" s="202"/>
      <c r="Y34" s="53">
        <f t="shared" si="77"/>
        <v>0</v>
      </c>
      <c r="Z34" s="54">
        <f t="shared" si="78"/>
        <v>0</v>
      </c>
      <c r="AA34" s="419">
        <f t="shared" si="79"/>
        <v>0</v>
      </c>
      <c r="AB34" s="260"/>
      <c r="AC34" s="277"/>
      <c r="AD34" s="265"/>
      <c r="AE34" s="265"/>
      <c r="AF34" s="265"/>
      <c r="AG34" s="265"/>
      <c r="AH34" s="265"/>
      <c r="AI34" s="265"/>
      <c r="AJ34" s="265"/>
      <c r="AK34" s="265"/>
      <c r="AL34" s="265"/>
      <c r="AM34" s="265"/>
      <c r="AN34" s="265"/>
      <c r="AO34" s="265"/>
      <c r="AP34" s="265"/>
      <c r="AQ34" s="265"/>
      <c r="AR34" s="278"/>
      <c r="AS34" s="279"/>
      <c r="AT34" s="30" t="s">
        <v>99</v>
      </c>
      <c r="AU34" s="202">
        <v>5</v>
      </c>
      <c r="AV34" s="49">
        <f t="shared" si="80"/>
        <v>125</v>
      </c>
      <c r="AW34" s="54">
        <f t="shared" si="81"/>
        <v>50</v>
      </c>
      <c r="AX34" s="427">
        <f t="shared" si="82"/>
        <v>50</v>
      </c>
      <c r="AY34" s="265">
        <v>30</v>
      </c>
      <c r="AZ34" s="277">
        <v>30</v>
      </c>
      <c r="BA34" s="265"/>
      <c r="BB34" s="265">
        <v>20</v>
      </c>
      <c r="BC34" s="265"/>
      <c r="BD34" s="265"/>
      <c r="BE34" s="265"/>
      <c r="BF34" s="265"/>
      <c r="BG34" s="265"/>
      <c r="BH34" s="265"/>
      <c r="BI34" s="265"/>
      <c r="BJ34" s="265"/>
      <c r="BK34" s="265"/>
      <c r="BL34" s="265"/>
      <c r="BM34" s="265"/>
      <c r="BN34" s="265"/>
      <c r="BO34" s="278"/>
      <c r="BP34" s="290">
        <v>75</v>
      </c>
      <c r="BQ34" s="141">
        <f t="shared" si="11"/>
        <v>25</v>
      </c>
      <c r="BR34" s="209" t="str">
        <f t="shared" si="12"/>
        <v>Wartość prawidłowa</v>
      </c>
      <c r="BS34" s="926">
        <f t="shared" si="53"/>
        <v>20</v>
      </c>
      <c r="BT34" s="118">
        <f t="shared" si="54"/>
        <v>30</v>
      </c>
      <c r="BU34" s="118">
        <f t="shared" si="55"/>
        <v>0</v>
      </c>
      <c r="BV34" s="118">
        <f t="shared" si="56"/>
        <v>0</v>
      </c>
      <c r="BW34" s="118">
        <f t="shared" si="57"/>
        <v>75</v>
      </c>
      <c r="BX34" s="209">
        <f t="shared" si="58"/>
        <v>0</v>
      </c>
      <c r="BY34" s="927">
        <f t="shared" si="59"/>
        <v>125</v>
      </c>
      <c r="BZ34" s="928">
        <f t="shared" si="60"/>
        <v>0.8</v>
      </c>
      <c r="CA34" s="929">
        <f t="shared" si="61"/>
        <v>1.2</v>
      </c>
      <c r="CB34" s="929">
        <f t="shared" si="62"/>
        <v>0</v>
      </c>
      <c r="CC34" s="929">
        <f t="shared" si="63"/>
        <v>0</v>
      </c>
      <c r="CD34" s="929">
        <f t="shared" si="64"/>
        <v>3</v>
      </c>
      <c r="CE34" s="949">
        <f t="shared" si="65"/>
        <v>0</v>
      </c>
      <c r="CF34" s="963">
        <f t="shared" si="66"/>
        <v>5</v>
      </c>
      <c r="CG34" s="957">
        <f t="shared" si="21"/>
        <v>50</v>
      </c>
      <c r="CH34" s="209">
        <f t="shared" si="22"/>
        <v>30</v>
      </c>
      <c r="CI34" s="930">
        <f t="shared" si="23"/>
        <v>2</v>
      </c>
      <c r="CJ34" s="998">
        <f t="shared" si="24"/>
        <v>1.2</v>
      </c>
      <c r="CK34" s="1000">
        <f>Matryca!Q34</f>
        <v>1</v>
      </c>
      <c r="CL34" s="1001">
        <f>Matryca!R34</f>
        <v>1</v>
      </c>
      <c r="CM34" s="1002">
        <f>Matryca!S34</f>
        <v>2</v>
      </c>
    </row>
    <row r="35" spans="1:91" s="44" customFormat="1" ht="30" customHeight="1" x14ac:dyDescent="0.25">
      <c r="A35" s="46">
        <v>16</v>
      </c>
      <c r="B35" s="31"/>
      <c r="C35" s="46" t="s">
        <v>107</v>
      </c>
      <c r="D35" s="46"/>
      <c r="E35" s="47">
        <v>1</v>
      </c>
      <c r="F35" s="46" t="s">
        <v>107</v>
      </c>
      <c r="G35" s="32" t="s">
        <v>59</v>
      </c>
      <c r="H35" s="33"/>
      <c r="I35" s="1084" t="s">
        <v>943</v>
      </c>
      <c r="J35" s="118"/>
      <c r="K35" s="118"/>
      <c r="L35" s="122" t="s">
        <v>417</v>
      </c>
      <c r="M35" s="192">
        <f t="shared" si="70"/>
        <v>75</v>
      </c>
      <c r="N35" s="50">
        <f t="shared" si="71"/>
        <v>30</v>
      </c>
      <c r="O35" s="51">
        <f t="shared" si="72"/>
        <v>45</v>
      </c>
      <c r="P35" s="415">
        <f t="shared" si="73"/>
        <v>45</v>
      </c>
      <c r="Q35" s="52">
        <f t="shared" si="74"/>
        <v>3</v>
      </c>
      <c r="R35" s="38">
        <f t="shared" si="75"/>
        <v>0</v>
      </c>
      <c r="S35" s="76">
        <f t="shared" si="18"/>
        <v>3</v>
      </c>
      <c r="T35" s="39">
        <f t="shared" si="76"/>
        <v>0</v>
      </c>
      <c r="U35" s="40">
        <f t="shared" si="20"/>
        <v>1.8</v>
      </c>
      <c r="V35" s="201" t="s">
        <v>99</v>
      </c>
      <c r="W35" s="43" t="s">
        <v>99</v>
      </c>
      <c r="X35" s="202">
        <v>3</v>
      </c>
      <c r="Y35" s="53">
        <f t="shared" si="77"/>
        <v>75</v>
      </c>
      <c r="Z35" s="54">
        <f t="shared" si="78"/>
        <v>45</v>
      </c>
      <c r="AA35" s="419">
        <f t="shared" si="79"/>
        <v>45</v>
      </c>
      <c r="AB35" s="265"/>
      <c r="AC35" s="277"/>
      <c r="AD35" s="265"/>
      <c r="AE35" s="265">
        <v>45</v>
      </c>
      <c r="AF35" s="265"/>
      <c r="AG35" s="265"/>
      <c r="AH35" s="265"/>
      <c r="AI35" s="265"/>
      <c r="AJ35" s="265"/>
      <c r="AK35" s="265"/>
      <c r="AL35" s="265"/>
      <c r="AM35" s="265"/>
      <c r="AN35" s="265"/>
      <c r="AO35" s="265"/>
      <c r="AP35" s="265"/>
      <c r="AQ35" s="265"/>
      <c r="AR35" s="278"/>
      <c r="AS35" s="279">
        <v>30</v>
      </c>
      <c r="AT35" s="30"/>
      <c r="AU35" s="202"/>
      <c r="AV35" s="49">
        <f t="shared" si="80"/>
        <v>0</v>
      </c>
      <c r="AW35" s="54">
        <f t="shared" si="81"/>
        <v>0</v>
      </c>
      <c r="AX35" s="427">
        <f t="shared" si="82"/>
        <v>0</v>
      </c>
      <c r="AY35" s="265"/>
      <c r="AZ35" s="277"/>
      <c r="BA35" s="265"/>
      <c r="BB35" s="265"/>
      <c r="BC35" s="265"/>
      <c r="BD35" s="265"/>
      <c r="BE35" s="265"/>
      <c r="BF35" s="265"/>
      <c r="BG35" s="265"/>
      <c r="BH35" s="265"/>
      <c r="BI35" s="265"/>
      <c r="BJ35" s="265"/>
      <c r="BK35" s="265"/>
      <c r="BL35" s="265"/>
      <c r="BM35" s="265"/>
      <c r="BN35" s="265"/>
      <c r="BO35" s="278"/>
      <c r="BP35" s="279"/>
      <c r="BQ35" s="141">
        <f t="shared" si="11"/>
        <v>25</v>
      </c>
      <c r="BR35" s="209" t="str">
        <f t="shared" si="12"/>
        <v>Wartość prawidłowa</v>
      </c>
      <c r="BS35" s="926">
        <f t="shared" si="53"/>
        <v>45</v>
      </c>
      <c r="BT35" s="118">
        <f t="shared" si="54"/>
        <v>0</v>
      </c>
      <c r="BU35" s="118">
        <f t="shared" si="55"/>
        <v>0</v>
      </c>
      <c r="BV35" s="118">
        <f t="shared" si="56"/>
        <v>0</v>
      </c>
      <c r="BW35" s="118">
        <f t="shared" si="57"/>
        <v>30</v>
      </c>
      <c r="BX35" s="209">
        <f t="shared" si="58"/>
        <v>0</v>
      </c>
      <c r="BY35" s="927">
        <f t="shared" si="59"/>
        <v>75</v>
      </c>
      <c r="BZ35" s="928">
        <f t="shared" si="60"/>
        <v>1.8</v>
      </c>
      <c r="CA35" s="929">
        <f t="shared" si="61"/>
        <v>0</v>
      </c>
      <c r="CB35" s="929">
        <f t="shared" si="62"/>
        <v>0</v>
      </c>
      <c r="CC35" s="929">
        <f t="shared" si="63"/>
        <v>0</v>
      </c>
      <c r="CD35" s="929">
        <f t="shared" si="64"/>
        <v>1.2</v>
      </c>
      <c r="CE35" s="949">
        <f t="shared" si="65"/>
        <v>0</v>
      </c>
      <c r="CF35" s="963">
        <f t="shared" si="66"/>
        <v>3</v>
      </c>
      <c r="CG35" s="957">
        <f t="shared" si="21"/>
        <v>45</v>
      </c>
      <c r="CH35" s="209">
        <f t="shared" si="22"/>
        <v>0</v>
      </c>
      <c r="CI35" s="930">
        <f t="shared" si="23"/>
        <v>1.8</v>
      </c>
      <c r="CJ35" s="998">
        <f t="shared" si="24"/>
        <v>0</v>
      </c>
      <c r="CK35" s="1000">
        <f>Matryca!Q35</f>
        <v>0</v>
      </c>
      <c r="CL35" s="1001">
        <f>Matryca!R35</f>
        <v>2</v>
      </c>
      <c r="CM35" s="1002">
        <f>Matryca!S35</f>
        <v>2</v>
      </c>
    </row>
    <row r="36" spans="1:91" s="44" customFormat="1" ht="30" customHeight="1" x14ac:dyDescent="0.25">
      <c r="A36" s="46">
        <v>17</v>
      </c>
      <c r="B36" s="31"/>
      <c r="C36" s="46" t="s">
        <v>107</v>
      </c>
      <c r="D36" s="46"/>
      <c r="E36" s="47">
        <v>1</v>
      </c>
      <c r="F36" s="46" t="s">
        <v>107</v>
      </c>
      <c r="G36" s="32" t="s">
        <v>59</v>
      </c>
      <c r="H36" s="33"/>
      <c r="I36" s="1110" t="s">
        <v>944</v>
      </c>
      <c r="J36" s="118"/>
      <c r="K36" s="118"/>
      <c r="L36" s="122" t="s">
        <v>417</v>
      </c>
      <c r="M36" s="192">
        <f t="shared" ref="M36" si="118">Y36+AV36</f>
        <v>100</v>
      </c>
      <c r="N36" s="50">
        <f t="shared" ref="N36" si="119">AS36+BP36</f>
        <v>35</v>
      </c>
      <c r="O36" s="51">
        <f t="shared" ref="O36" si="120">Z36+AW36</f>
        <v>65</v>
      </c>
      <c r="P36" s="415">
        <f t="shared" ref="P36" si="121">AA36+AX36</f>
        <v>65</v>
      </c>
      <c r="Q36" s="52">
        <f t="shared" ref="Q36" si="122">X36+AU36</f>
        <v>4</v>
      </c>
      <c r="R36" s="38">
        <f t="shared" ref="R36" si="123">IFERROR((AL36+BI36)*Q36/O36," ")</f>
        <v>0</v>
      </c>
      <c r="S36" s="76">
        <f t="shared" ref="S36" si="124">IFERROR(IF(L36="tak",(SUM(AE36:AL36,AQ36,BB36:BI36,BN36))*Q36/O36,0),0)</f>
        <v>4</v>
      </c>
      <c r="T36" s="39">
        <f t="shared" ref="T36" si="125">IFERROR((AC36+AO36+AZ36+BL36)*Q36/O36," ")</f>
        <v>0</v>
      </c>
      <c r="U36" s="40">
        <f t="shared" ref="U36" si="126">IFERROR((SUM(AB36,AD36:AN36,AY36,BA36:BK36,AP36:AQ36,BM36:BN36)*Q36/M36)," ")</f>
        <v>2.6</v>
      </c>
      <c r="V36" s="201" t="s">
        <v>99</v>
      </c>
      <c r="W36" s="30"/>
      <c r="X36" s="202"/>
      <c r="Y36" s="53">
        <f t="shared" ref="Y36" si="127">AS36+Z36</f>
        <v>0</v>
      </c>
      <c r="Z36" s="54">
        <f t="shared" ref="Z36" si="128">AR36+AA36</f>
        <v>0</v>
      </c>
      <c r="AA36" s="419">
        <f t="shared" ref="AA36" si="129">(SUM(AB36:AQ36))-AC36</f>
        <v>0</v>
      </c>
      <c r="AB36" s="265"/>
      <c r="AC36" s="277"/>
      <c r="AD36" s="265"/>
      <c r="AE36" s="265"/>
      <c r="AF36" s="265"/>
      <c r="AG36" s="265"/>
      <c r="AH36" s="265"/>
      <c r="AI36" s="265"/>
      <c r="AJ36" s="265"/>
      <c r="AK36" s="265"/>
      <c r="AL36" s="265"/>
      <c r="AM36" s="265"/>
      <c r="AN36" s="265"/>
      <c r="AO36" s="265"/>
      <c r="AP36" s="265"/>
      <c r="AQ36" s="265"/>
      <c r="AR36" s="278"/>
      <c r="AS36" s="279"/>
      <c r="AT36" s="30" t="s">
        <v>99</v>
      </c>
      <c r="AU36" s="202">
        <v>4</v>
      </c>
      <c r="AV36" s="49">
        <f t="shared" ref="AV36" si="130">BP36+AW36</f>
        <v>100</v>
      </c>
      <c r="AW36" s="54">
        <f t="shared" ref="AW36" si="131">BO36+AX36</f>
        <v>65</v>
      </c>
      <c r="AX36" s="427">
        <f t="shared" ref="AX36" si="132">(SUM(AY36:BN36))-AZ36</f>
        <v>65</v>
      </c>
      <c r="AY36" s="265"/>
      <c r="AZ36" s="277"/>
      <c r="BA36" s="265"/>
      <c r="BB36" s="265">
        <v>65</v>
      </c>
      <c r="BC36" s="265"/>
      <c r="BD36" s="265"/>
      <c r="BE36" s="265"/>
      <c r="BF36" s="265"/>
      <c r="BG36" s="265"/>
      <c r="BH36" s="265"/>
      <c r="BI36" s="265"/>
      <c r="BJ36" s="265"/>
      <c r="BK36" s="265"/>
      <c r="BL36" s="265"/>
      <c r="BM36" s="265"/>
      <c r="BN36" s="265"/>
      <c r="BO36" s="278"/>
      <c r="BP36" s="279">
        <v>35</v>
      </c>
      <c r="BQ36" s="141">
        <f t="shared" ref="BQ36" si="133">IFERROR(M36/Q36," ")</f>
        <v>25</v>
      </c>
      <c r="BR36" s="209" t="str">
        <f t="shared" ref="BR36" si="134">IF(OR(BQ36&gt;30,BQ36&lt;25),"1 ECTS powinien mieścić się przedziale 25-30h","Wartość prawidłowa")</f>
        <v>Wartość prawidłowa</v>
      </c>
      <c r="BS36" s="926">
        <f t="shared" ref="BS36" si="135">SUM(AB36,AD36:AP36,AY36,BA36:BM36)-AC36-AZ36-AO36-BL36</f>
        <v>65</v>
      </c>
      <c r="BT36" s="118">
        <f t="shared" ref="BT36" si="136">AC36+AZ36</f>
        <v>0</v>
      </c>
      <c r="BU36" s="118">
        <f t="shared" ref="BU36" si="137">AO36+BL36</f>
        <v>0</v>
      </c>
      <c r="BV36" s="118">
        <f t="shared" ref="BV36" si="138">AR36+BO36</f>
        <v>0</v>
      </c>
      <c r="BW36" s="118">
        <f t="shared" ref="BW36" si="139">N36</f>
        <v>35</v>
      </c>
      <c r="BX36" s="209">
        <f t="shared" ref="BX36" si="140">AQ36+BN36</f>
        <v>0</v>
      </c>
      <c r="BY36" s="927">
        <f t="shared" ref="BY36" si="141">SUM(BS36:BX36)</f>
        <v>100</v>
      </c>
      <c r="BZ36" s="928">
        <f t="shared" ref="BZ36" si="142">IFERROR((BS36*Q36)/BY36," ")</f>
        <v>2.6</v>
      </c>
      <c r="CA36" s="929">
        <f t="shared" ref="CA36" si="143">IFERROR((BT36*Q36)/BY36," ")</f>
        <v>0</v>
      </c>
      <c r="CB36" s="929">
        <f t="shared" ref="CB36" si="144">IFERROR((BU36*Q36)/BY36," ")</f>
        <v>0</v>
      </c>
      <c r="CC36" s="929">
        <f t="shared" ref="CC36" si="145">IFERROR((BV36*Q36)/BY36," ")</f>
        <v>0</v>
      </c>
      <c r="CD36" s="929">
        <f t="shared" ref="CD36" si="146">IFERROR((BW36*Q36)/BY36," ")</f>
        <v>1.4</v>
      </c>
      <c r="CE36" s="949">
        <f t="shared" ref="CE36" si="147">IFERROR((BX36*Q36)/BY36," ")</f>
        <v>0</v>
      </c>
      <c r="CF36" s="963">
        <f t="shared" ref="CF36" si="148">IFERROR((SUM(BZ36:CE36))," ")</f>
        <v>4</v>
      </c>
      <c r="CG36" s="957">
        <f t="shared" ref="CG36" si="149">SUM(BS36:BT36,BX36)</f>
        <v>65</v>
      </c>
      <c r="CH36" s="209">
        <f t="shared" ref="CH36" si="150">SUM(BT36:BU36)</f>
        <v>0</v>
      </c>
      <c r="CI36" s="930">
        <f t="shared" ref="CI36" si="151">SUM(BZ36:CA36,CE36)</f>
        <v>2.6</v>
      </c>
      <c r="CJ36" s="998">
        <f t="shared" ref="CJ36" si="152">SUM(CA36:CB36)</f>
        <v>0</v>
      </c>
      <c r="CK36" s="1000">
        <f>Matryca!Q37</f>
        <v>1</v>
      </c>
      <c r="CL36" s="1001">
        <f>Matryca!R37</f>
        <v>1</v>
      </c>
      <c r="CM36" s="1002">
        <f>Matryca!S37</f>
        <v>1</v>
      </c>
    </row>
    <row r="37" spans="1:91" s="44" customFormat="1" ht="36.75" customHeight="1" x14ac:dyDescent="0.25">
      <c r="A37" s="46">
        <v>18</v>
      </c>
      <c r="B37" s="31"/>
      <c r="C37" s="32" t="s">
        <v>107</v>
      </c>
      <c r="D37" s="46"/>
      <c r="E37" s="47">
        <v>1</v>
      </c>
      <c r="F37" s="32" t="s">
        <v>107</v>
      </c>
      <c r="G37" s="32" t="s">
        <v>59</v>
      </c>
      <c r="H37" s="33"/>
      <c r="I37" s="118" t="s">
        <v>433</v>
      </c>
      <c r="J37" s="118"/>
      <c r="K37" s="118"/>
      <c r="L37" s="122" t="s">
        <v>418</v>
      </c>
      <c r="M37" s="192">
        <f t="shared" si="70"/>
        <v>125</v>
      </c>
      <c r="N37" s="50">
        <f t="shared" si="71"/>
        <v>65</v>
      </c>
      <c r="O37" s="51">
        <f t="shared" si="72"/>
        <v>60</v>
      </c>
      <c r="P37" s="415">
        <f t="shared" si="73"/>
        <v>60</v>
      </c>
      <c r="Q37" s="52">
        <f t="shared" si="74"/>
        <v>5</v>
      </c>
      <c r="R37" s="38">
        <f t="shared" si="75"/>
        <v>0</v>
      </c>
      <c r="S37" s="76">
        <f t="shared" si="18"/>
        <v>0</v>
      </c>
      <c r="T37" s="39">
        <f t="shared" si="76"/>
        <v>1.6666666666666667</v>
      </c>
      <c r="U37" s="40">
        <f t="shared" si="20"/>
        <v>2.4</v>
      </c>
      <c r="V37" s="201" t="s">
        <v>99</v>
      </c>
      <c r="W37" s="43" t="s">
        <v>99</v>
      </c>
      <c r="X37" s="202">
        <v>5</v>
      </c>
      <c r="Y37" s="53">
        <f t="shared" si="77"/>
        <v>125</v>
      </c>
      <c r="Z37" s="54">
        <f t="shared" si="78"/>
        <v>60</v>
      </c>
      <c r="AA37" s="419">
        <f t="shared" si="79"/>
        <v>60</v>
      </c>
      <c r="AB37" s="260">
        <v>20</v>
      </c>
      <c r="AC37" s="277">
        <v>20</v>
      </c>
      <c r="AD37" s="265"/>
      <c r="AE37" s="265"/>
      <c r="AF37" s="265">
        <v>40</v>
      </c>
      <c r="AG37" s="265"/>
      <c r="AH37" s="265"/>
      <c r="AI37" s="265"/>
      <c r="AJ37" s="265"/>
      <c r="AK37" s="265"/>
      <c r="AL37" s="265"/>
      <c r="AM37" s="265"/>
      <c r="AN37" s="265"/>
      <c r="AO37" s="265"/>
      <c r="AP37" s="265"/>
      <c r="AQ37" s="265"/>
      <c r="AR37" s="278"/>
      <c r="AS37" s="279">
        <v>65</v>
      </c>
      <c r="AT37" s="30"/>
      <c r="AU37" s="202"/>
      <c r="AV37" s="49">
        <f t="shared" si="80"/>
        <v>0</v>
      </c>
      <c r="AW37" s="54">
        <f t="shared" si="81"/>
        <v>0</v>
      </c>
      <c r="AX37" s="427">
        <f t="shared" si="82"/>
        <v>0</v>
      </c>
      <c r="AY37" s="265"/>
      <c r="AZ37" s="277"/>
      <c r="BA37" s="265"/>
      <c r="BB37" s="265"/>
      <c r="BC37" s="265"/>
      <c r="BD37" s="265"/>
      <c r="BE37" s="265"/>
      <c r="BF37" s="265"/>
      <c r="BG37" s="265"/>
      <c r="BH37" s="265"/>
      <c r="BI37" s="265"/>
      <c r="BJ37" s="265"/>
      <c r="BK37" s="265"/>
      <c r="BL37" s="265"/>
      <c r="BM37" s="265"/>
      <c r="BN37" s="265"/>
      <c r="BO37" s="278"/>
      <c r="BP37" s="290"/>
      <c r="BQ37" s="141">
        <f t="shared" si="11"/>
        <v>25</v>
      </c>
      <c r="BR37" s="209" t="str">
        <f t="shared" si="12"/>
        <v>Wartość prawidłowa</v>
      </c>
      <c r="BS37" s="926">
        <f t="shared" si="53"/>
        <v>40</v>
      </c>
      <c r="BT37" s="118">
        <f t="shared" si="54"/>
        <v>20</v>
      </c>
      <c r="BU37" s="118">
        <f t="shared" si="55"/>
        <v>0</v>
      </c>
      <c r="BV37" s="118">
        <f t="shared" si="56"/>
        <v>0</v>
      </c>
      <c r="BW37" s="118">
        <f t="shared" si="57"/>
        <v>65</v>
      </c>
      <c r="BX37" s="209">
        <f t="shared" si="58"/>
        <v>0</v>
      </c>
      <c r="BY37" s="927">
        <f t="shared" si="59"/>
        <v>125</v>
      </c>
      <c r="BZ37" s="928">
        <f t="shared" si="60"/>
        <v>1.6</v>
      </c>
      <c r="CA37" s="929">
        <f t="shared" si="61"/>
        <v>0.8</v>
      </c>
      <c r="CB37" s="929">
        <f t="shared" si="62"/>
        <v>0</v>
      </c>
      <c r="CC37" s="929">
        <f t="shared" si="63"/>
        <v>0</v>
      </c>
      <c r="CD37" s="929">
        <f t="shared" si="64"/>
        <v>2.6</v>
      </c>
      <c r="CE37" s="949">
        <f t="shared" si="65"/>
        <v>0</v>
      </c>
      <c r="CF37" s="963">
        <f t="shared" si="66"/>
        <v>5</v>
      </c>
      <c r="CG37" s="957">
        <f t="shared" si="21"/>
        <v>60</v>
      </c>
      <c r="CH37" s="209">
        <f t="shared" si="22"/>
        <v>20</v>
      </c>
      <c r="CI37" s="930">
        <f t="shared" si="23"/>
        <v>2.4000000000000004</v>
      </c>
      <c r="CJ37" s="998">
        <f t="shared" si="24"/>
        <v>0.8</v>
      </c>
      <c r="CK37" s="1000">
        <f>Matryca!Q37</f>
        <v>1</v>
      </c>
      <c r="CL37" s="1001">
        <f>Matryca!R37</f>
        <v>1</v>
      </c>
      <c r="CM37" s="1002">
        <f>Matryca!S37</f>
        <v>1</v>
      </c>
    </row>
    <row r="38" spans="1:91" s="44" customFormat="1" ht="53.25" customHeight="1" x14ac:dyDescent="0.25">
      <c r="A38" s="46">
        <v>19</v>
      </c>
      <c r="B38" s="31"/>
      <c r="C38" s="46" t="s">
        <v>107</v>
      </c>
      <c r="D38" s="46"/>
      <c r="E38" s="47">
        <v>1</v>
      </c>
      <c r="F38" s="46" t="s">
        <v>107</v>
      </c>
      <c r="G38" s="32" t="s">
        <v>59</v>
      </c>
      <c r="H38" s="33"/>
      <c r="I38" s="1088" t="s">
        <v>651</v>
      </c>
      <c r="J38" s="118"/>
      <c r="K38" s="118"/>
      <c r="L38" s="122" t="s">
        <v>418</v>
      </c>
      <c r="M38" s="192">
        <f t="shared" si="70"/>
        <v>100</v>
      </c>
      <c r="N38" s="50">
        <f t="shared" si="71"/>
        <v>60</v>
      </c>
      <c r="O38" s="51">
        <f t="shared" si="72"/>
        <v>40</v>
      </c>
      <c r="P38" s="415">
        <f t="shared" si="73"/>
        <v>40</v>
      </c>
      <c r="Q38" s="52">
        <f t="shared" si="74"/>
        <v>4</v>
      </c>
      <c r="R38" s="38">
        <f t="shared" si="75"/>
        <v>0</v>
      </c>
      <c r="S38" s="76">
        <f t="shared" si="18"/>
        <v>0</v>
      </c>
      <c r="T38" s="39">
        <f t="shared" si="76"/>
        <v>3</v>
      </c>
      <c r="U38" s="40">
        <f t="shared" si="20"/>
        <v>1.6</v>
      </c>
      <c r="V38" s="201" t="s">
        <v>56</v>
      </c>
      <c r="W38" s="43" t="s">
        <v>99</v>
      </c>
      <c r="X38" s="202">
        <v>4</v>
      </c>
      <c r="Y38" s="53">
        <f t="shared" si="77"/>
        <v>100</v>
      </c>
      <c r="Z38" s="54">
        <f t="shared" si="78"/>
        <v>40</v>
      </c>
      <c r="AA38" s="419">
        <f t="shared" si="79"/>
        <v>40</v>
      </c>
      <c r="AB38" s="260">
        <v>30</v>
      </c>
      <c r="AC38" s="277">
        <v>30</v>
      </c>
      <c r="AD38" s="265"/>
      <c r="AE38" s="265">
        <v>10</v>
      </c>
      <c r="AF38" s="265"/>
      <c r="AG38" s="265"/>
      <c r="AH38" s="265"/>
      <c r="AI38" s="265"/>
      <c r="AJ38" s="265"/>
      <c r="AK38" s="265"/>
      <c r="AL38" s="265"/>
      <c r="AM38" s="265"/>
      <c r="AN38" s="265"/>
      <c r="AO38" s="265"/>
      <c r="AP38" s="265"/>
      <c r="AQ38" s="265"/>
      <c r="AR38" s="278"/>
      <c r="AS38" s="279">
        <v>60</v>
      </c>
      <c r="AT38" s="30"/>
      <c r="AU38" s="202"/>
      <c r="AV38" s="49">
        <f t="shared" si="80"/>
        <v>0</v>
      </c>
      <c r="AW38" s="54">
        <f t="shared" si="81"/>
        <v>0</v>
      </c>
      <c r="AX38" s="427">
        <f t="shared" si="82"/>
        <v>0</v>
      </c>
      <c r="AY38" s="265"/>
      <c r="AZ38" s="277"/>
      <c r="BA38" s="265"/>
      <c r="BB38" s="265"/>
      <c r="BC38" s="265"/>
      <c r="BD38" s="265"/>
      <c r="BE38" s="265"/>
      <c r="BF38" s="265"/>
      <c r="BG38" s="265"/>
      <c r="BH38" s="265"/>
      <c r="BI38" s="265"/>
      <c r="BJ38" s="265"/>
      <c r="BK38" s="265"/>
      <c r="BL38" s="265"/>
      <c r="BM38" s="265"/>
      <c r="BN38" s="265"/>
      <c r="BO38" s="278"/>
      <c r="BP38" s="290"/>
      <c r="BQ38" s="141">
        <f t="shared" si="11"/>
        <v>25</v>
      </c>
      <c r="BR38" s="209" t="str">
        <f t="shared" si="12"/>
        <v>Wartość prawidłowa</v>
      </c>
      <c r="BS38" s="926">
        <f t="shared" si="53"/>
        <v>10</v>
      </c>
      <c r="BT38" s="118">
        <f t="shared" si="54"/>
        <v>30</v>
      </c>
      <c r="BU38" s="118">
        <f t="shared" si="55"/>
        <v>0</v>
      </c>
      <c r="BV38" s="118">
        <f t="shared" si="56"/>
        <v>0</v>
      </c>
      <c r="BW38" s="118">
        <f t="shared" si="57"/>
        <v>60</v>
      </c>
      <c r="BX38" s="209">
        <f t="shared" si="58"/>
        <v>0</v>
      </c>
      <c r="BY38" s="927">
        <f t="shared" si="59"/>
        <v>100</v>
      </c>
      <c r="BZ38" s="928">
        <f t="shared" si="60"/>
        <v>0.4</v>
      </c>
      <c r="CA38" s="929">
        <f t="shared" si="61"/>
        <v>1.2</v>
      </c>
      <c r="CB38" s="929">
        <f t="shared" si="62"/>
        <v>0</v>
      </c>
      <c r="CC38" s="929">
        <f t="shared" si="63"/>
        <v>0</v>
      </c>
      <c r="CD38" s="929">
        <f t="shared" si="64"/>
        <v>2.4</v>
      </c>
      <c r="CE38" s="949">
        <f t="shared" si="65"/>
        <v>0</v>
      </c>
      <c r="CF38" s="963">
        <f t="shared" si="66"/>
        <v>4</v>
      </c>
      <c r="CG38" s="957">
        <f t="shared" si="21"/>
        <v>40</v>
      </c>
      <c r="CH38" s="209">
        <f t="shared" si="22"/>
        <v>30</v>
      </c>
      <c r="CI38" s="930">
        <f t="shared" si="23"/>
        <v>1.6</v>
      </c>
      <c r="CJ38" s="998">
        <f t="shared" si="24"/>
        <v>1.2</v>
      </c>
      <c r="CK38" s="1000">
        <f>Matryca!Q38</f>
        <v>1</v>
      </c>
      <c r="CL38" s="1001">
        <f>Matryca!R38</f>
        <v>1</v>
      </c>
      <c r="CM38" s="1002">
        <f>Matryca!S38</f>
        <v>1</v>
      </c>
    </row>
    <row r="39" spans="1:91" s="44" customFormat="1" ht="35.25" customHeight="1" x14ac:dyDescent="0.25">
      <c r="A39" s="46">
        <v>20</v>
      </c>
      <c r="B39" s="31"/>
      <c r="C39" s="46" t="s">
        <v>107</v>
      </c>
      <c r="D39" s="46"/>
      <c r="E39" s="47">
        <v>1</v>
      </c>
      <c r="F39" s="46" t="s">
        <v>107</v>
      </c>
      <c r="G39" s="32" t="s">
        <v>59</v>
      </c>
      <c r="H39" s="33"/>
      <c r="I39" s="194" t="s">
        <v>435</v>
      </c>
      <c r="J39" s="118"/>
      <c r="K39" s="118"/>
      <c r="L39" s="122" t="s">
        <v>418</v>
      </c>
      <c r="M39" s="192">
        <f t="shared" si="70"/>
        <v>100</v>
      </c>
      <c r="N39" s="50">
        <f t="shared" si="71"/>
        <v>45</v>
      </c>
      <c r="O39" s="51">
        <f t="shared" si="72"/>
        <v>55</v>
      </c>
      <c r="P39" s="415">
        <f t="shared" si="73"/>
        <v>55</v>
      </c>
      <c r="Q39" s="52">
        <f t="shared" si="74"/>
        <v>4</v>
      </c>
      <c r="R39" s="38">
        <f t="shared" si="75"/>
        <v>0</v>
      </c>
      <c r="S39" s="76">
        <f t="shared" si="18"/>
        <v>0</v>
      </c>
      <c r="T39" s="39">
        <f t="shared" si="76"/>
        <v>2.1818181818181817</v>
      </c>
      <c r="U39" s="40">
        <f t="shared" si="20"/>
        <v>2.2000000000000002</v>
      </c>
      <c r="V39" s="201" t="s">
        <v>56</v>
      </c>
      <c r="W39" s="43" t="s">
        <v>99</v>
      </c>
      <c r="X39" s="202">
        <v>4</v>
      </c>
      <c r="Y39" s="53">
        <f t="shared" ref="Y39" si="153">AS39+Z39</f>
        <v>100</v>
      </c>
      <c r="Z39" s="54">
        <f t="shared" ref="Z39" si="154">AR39+AA39</f>
        <v>55</v>
      </c>
      <c r="AA39" s="419">
        <f t="shared" ref="AA39" si="155">(SUM(AB39:AQ39))-AC39</f>
        <v>55</v>
      </c>
      <c r="AB39" s="260">
        <v>30</v>
      </c>
      <c r="AC39" s="277">
        <v>30</v>
      </c>
      <c r="AD39" s="265"/>
      <c r="AE39" s="265">
        <v>25</v>
      </c>
      <c r="AF39" s="265"/>
      <c r="AG39" s="265"/>
      <c r="AH39" s="265"/>
      <c r="AI39" s="265"/>
      <c r="AJ39" s="265"/>
      <c r="AK39" s="265"/>
      <c r="AL39" s="265"/>
      <c r="AM39" s="265"/>
      <c r="AN39" s="265"/>
      <c r="AO39" s="265"/>
      <c r="AP39" s="265"/>
      <c r="AQ39" s="265"/>
      <c r="AR39" s="278"/>
      <c r="AS39" s="279">
        <v>45</v>
      </c>
      <c r="AT39" s="30"/>
      <c r="AU39" s="202"/>
      <c r="AV39" s="49">
        <f t="shared" si="80"/>
        <v>0</v>
      </c>
      <c r="AW39" s="54">
        <f t="shared" si="81"/>
        <v>0</v>
      </c>
      <c r="AX39" s="427">
        <f t="shared" si="82"/>
        <v>0</v>
      </c>
      <c r="AY39" s="265"/>
      <c r="AZ39" s="277"/>
      <c r="BA39" s="265"/>
      <c r="BB39" s="265"/>
      <c r="BC39" s="265"/>
      <c r="BD39" s="265"/>
      <c r="BE39" s="265"/>
      <c r="BF39" s="265"/>
      <c r="BG39" s="265"/>
      <c r="BH39" s="265"/>
      <c r="BI39" s="265"/>
      <c r="BJ39" s="265"/>
      <c r="BK39" s="265"/>
      <c r="BL39" s="265"/>
      <c r="BM39" s="265"/>
      <c r="BN39" s="265"/>
      <c r="BO39" s="278"/>
      <c r="BP39" s="290"/>
      <c r="BQ39" s="141">
        <f t="shared" si="11"/>
        <v>25</v>
      </c>
      <c r="BR39" s="209" t="str">
        <f t="shared" si="12"/>
        <v>Wartość prawidłowa</v>
      </c>
      <c r="BS39" s="926">
        <f t="shared" si="53"/>
        <v>25</v>
      </c>
      <c r="BT39" s="118">
        <f t="shared" si="54"/>
        <v>30</v>
      </c>
      <c r="BU39" s="118">
        <f t="shared" si="55"/>
        <v>0</v>
      </c>
      <c r="BV39" s="118">
        <f t="shared" si="56"/>
        <v>0</v>
      </c>
      <c r="BW39" s="118">
        <f t="shared" si="57"/>
        <v>45</v>
      </c>
      <c r="BX39" s="209">
        <f t="shared" si="58"/>
        <v>0</v>
      </c>
      <c r="BY39" s="927">
        <f t="shared" si="59"/>
        <v>100</v>
      </c>
      <c r="BZ39" s="928">
        <f t="shared" si="60"/>
        <v>1</v>
      </c>
      <c r="CA39" s="929">
        <f t="shared" si="61"/>
        <v>1.2</v>
      </c>
      <c r="CB39" s="929">
        <f t="shared" si="62"/>
        <v>0</v>
      </c>
      <c r="CC39" s="929">
        <f t="shared" si="63"/>
        <v>0</v>
      </c>
      <c r="CD39" s="929">
        <f t="shared" si="64"/>
        <v>1.8</v>
      </c>
      <c r="CE39" s="949">
        <f t="shared" si="65"/>
        <v>0</v>
      </c>
      <c r="CF39" s="963">
        <f t="shared" si="66"/>
        <v>4</v>
      </c>
      <c r="CG39" s="957">
        <f t="shared" si="21"/>
        <v>55</v>
      </c>
      <c r="CH39" s="209">
        <f t="shared" si="22"/>
        <v>30</v>
      </c>
      <c r="CI39" s="930">
        <f t="shared" si="23"/>
        <v>2.2000000000000002</v>
      </c>
      <c r="CJ39" s="998">
        <f t="shared" si="24"/>
        <v>1.2</v>
      </c>
      <c r="CK39" s="1000">
        <f>Matryca!Q39</f>
        <v>1</v>
      </c>
      <c r="CL39" s="1001">
        <f>Matryca!R39</f>
        <v>1</v>
      </c>
      <c r="CM39" s="1002">
        <f>Matryca!S39</f>
        <v>1</v>
      </c>
    </row>
    <row r="40" spans="1:91" s="44" customFormat="1" ht="30" customHeight="1" x14ac:dyDescent="0.25">
      <c r="A40" s="46">
        <v>21</v>
      </c>
      <c r="B40" s="31"/>
      <c r="C40" s="32" t="s">
        <v>107</v>
      </c>
      <c r="D40" s="46"/>
      <c r="E40" s="47">
        <v>1</v>
      </c>
      <c r="F40" s="32" t="s">
        <v>107</v>
      </c>
      <c r="G40" s="32" t="s">
        <v>59</v>
      </c>
      <c r="H40" s="33"/>
      <c r="I40" s="118" t="s">
        <v>739</v>
      </c>
      <c r="J40" s="118"/>
      <c r="K40" s="118"/>
      <c r="L40" s="122" t="s">
        <v>418</v>
      </c>
      <c r="M40" s="192">
        <f t="shared" ref="M40:M41" si="156">Y40+AV40</f>
        <v>30</v>
      </c>
      <c r="N40" s="50">
        <f t="shared" ref="N40:N41" si="157">AS40+BP40</f>
        <v>0</v>
      </c>
      <c r="O40" s="51">
        <f t="shared" ref="O40:O41" si="158">Z40+AW40</f>
        <v>30</v>
      </c>
      <c r="P40" s="415">
        <f t="shared" ref="P40:P41" si="159">AA40+AX40</f>
        <v>30</v>
      </c>
      <c r="Q40" s="52">
        <f t="shared" ref="Q40:Q41" si="160">X40+AU40</f>
        <v>0</v>
      </c>
      <c r="R40" s="38">
        <f t="shared" ref="R40:R41" si="161">IFERROR((AL40+BI40)*Q40/O40," ")</f>
        <v>0</v>
      </c>
      <c r="S40" s="76">
        <f t="shared" si="18"/>
        <v>0</v>
      </c>
      <c r="T40" s="39">
        <f t="shared" ref="T40:T41" si="162">IFERROR((AC40+AO40+AZ40+BL40)*Q40/O40," ")</f>
        <v>0</v>
      </c>
      <c r="U40" s="40">
        <f t="shared" si="20"/>
        <v>0</v>
      </c>
      <c r="V40" s="201" t="s">
        <v>57</v>
      </c>
      <c r="W40" s="43" t="s">
        <v>57</v>
      </c>
      <c r="X40" s="202">
        <v>0</v>
      </c>
      <c r="Y40" s="53">
        <f t="shared" ref="Y40:Y41" si="163">AS40+Z40</f>
        <v>30</v>
      </c>
      <c r="Z40" s="54">
        <f t="shared" ref="Z40:Z41" si="164">AR40+AA40</f>
        <v>30</v>
      </c>
      <c r="AA40" s="419">
        <f t="shared" ref="AA40:AA41" si="165">(SUM(AB40:AQ40))-AC40</f>
        <v>30</v>
      </c>
      <c r="AB40" s="260"/>
      <c r="AC40" s="277"/>
      <c r="AD40" s="265"/>
      <c r="AE40" s="265"/>
      <c r="AF40" s="265"/>
      <c r="AG40" s="265"/>
      <c r="AH40" s="265"/>
      <c r="AI40" s="265"/>
      <c r="AJ40" s="265"/>
      <c r="AK40" s="265"/>
      <c r="AL40" s="265"/>
      <c r="AM40" s="265"/>
      <c r="AN40" s="265"/>
      <c r="AO40" s="265"/>
      <c r="AP40" s="265">
        <v>30</v>
      </c>
      <c r="AQ40" s="265"/>
      <c r="AR40" s="278"/>
      <c r="AS40" s="279"/>
      <c r="AT40" s="30"/>
      <c r="AU40" s="202"/>
      <c r="AV40" s="49">
        <f t="shared" ref="AV40:AV41" si="166">BP40+AW40</f>
        <v>0</v>
      </c>
      <c r="AW40" s="54">
        <f t="shared" ref="AW40:AW41" si="167">BO40+AX40</f>
        <v>0</v>
      </c>
      <c r="AX40" s="427">
        <f t="shared" ref="AX40:AX41" si="168">(SUM(AY40:BN40))-AZ40</f>
        <v>0</v>
      </c>
      <c r="AY40" s="265"/>
      <c r="AZ40" s="277"/>
      <c r="BA40" s="265"/>
      <c r="BB40" s="265"/>
      <c r="BC40" s="265"/>
      <c r="BD40" s="265"/>
      <c r="BE40" s="265"/>
      <c r="BF40" s="265"/>
      <c r="BG40" s="265"/>
      <c r="BH40" s="265"/>
      <c r="BI40" s="265"/>
      <c r="BJ40" s="265"/>
      <c r="BK40" s="265"/>
      <c r="BL40" s="265"/>
      <c r="BM40" s="265"/>
      <c r="BN40" s="265"/>
      <c r="BO40" s="278"/>
      <c r="BP40" s="290">
        <v>0</v>
      </c>
      <c r="BQ40" s="141" t="str">
        <f t="shared" si="11"/>
        <v xml:space="preserve"> </v>
      </c>
      <c r="BR40" s="209" t="str">
        <f t="shared" si="12"/>
        <v>1 ECTS powinien mieścić się przedziale 25-30h</v>
      </c>
      <c r="BS40" s="926">
        <f t="shared" si="53"/>
        <v>30</v>
      </c>
      <c r="BT40" s="118">
        <f t="shared" si="54"/>
        <v>0</v>
      </c>
      <c r="BU40" s="118">
        <f t="shared" si="55"/>
        <v>0</v>
      </c>
      <c r="BV40" s="118">
        <f t="shared" si="56"/>
        <v>0</v>
      </c>
      <c r="BW40" s="118">
        <f t="shared" si="57"/>
        <v>0</v>
      </c>
      <c r="BX40" s="209">
        <f t="shared" si="58"/>
        <v>0</v>
      </c>
      <c r="BY40" s="927">
        <f t="shared" si="59"/>
        <v>30</v>
      </c>
      <c r="BZ40" s="928">
        <f t="shared" si="60"/>
        <v>0</v>
      </c>
      <c r="CA40" s="929">
        <f t="shared" si="61"/>
        <v>0</v>
      </c>
      <c r="CB40" s="929">
        <f t="shared" si="62"/>
        <v>0</v>
      </c>
      <c r="CC40" s="929">
        <f t="shared" si="63"/>
        <v>0</v>
      </c>
      <c r="CD40" s="929">
        <f t="shared" si="64"/>
        <v>0</v>
      </c>
      <c r="CE40" s="949">
        <f t="shared" si="65"/>
        <v>0</v>
      </c>
      <c r="CF40" s="963">
        <f t="shared" si="66"/>
        <v>0</v>
      </c>
      <c r="CG40" s="957">
        <f t="shared" si="21"/>
        <v>30</v>
      </c>
      <c r="CH40" s="209">
        <f t="shared" si="22"/>
        <v>0</v>
      </c>
      <c r="CI40" s="930">
        <f t="shared" si="23"/>
        <v>0</v>
      </c>
      <c r="CJ40" s="998">
        <f t="shared" si="24"/>
        <v>0</v>
      </c>
      <c r="CK40" s="1000">
        <f>Matryca!Q40</f>
        <v>0</v>
      </c>
      <c r="CL40" s="1001">
        <f>Matryca!R40</f>
        <v>1</v>
      </c>
      <c r="CM40" s="1002">
        <f>Matryca!S40</f>
        <v>0</v>
      </c>
    </row>
    <row r="41" spans="1:91" s="44" customFormat="1" ht="30" customHeight="1" thickBot="1" x14ac:dyDescent="0.3">
      <c r="A41" s="46">
        <v>22</v>
      </c>
      <c r="B41" s="31"/>
      <c r="C41" s="32" t="s">
        <v>107</v>
      </c>
      <c r="D41" s="46"/>
      <c r="E41" s="47">
        <v>1</v>
      </c>
      <c r="F41" s="32" t="s">
        <v>107</v>
      </c>
      <c r="G41" s="32" t="s">
        <v>59</v>
      </c>
      <c r="H41" s="33"/>
      <c r="I41" s="1088" t="s">
        <v>740</v>
      </c>
      <c r="J41" s="118"/>
      <c r="K41" s="118"/>
      <c r="L41" s="122" t="s">
        <v>418</v>
      </c>
      <c r="M41" s="192">
        <f t="shared" si="156"/>
        <v>30</v>
      </c>
      <c r="N41" s="50">
        <f t="shared" si="157"/>
        <v>0</v>
      </c>
      <c r="O41" s="51">
        <f t="shared" si="158"/>
        <v>30</v>
      </c>
      <c r="P41" s="415">
        <f t="shared" si="159"/>
        <v>30</v>
      </c>
      <c r="Q41" s="52">
        <f t="shared" si="160"/>
        <v>0</v>
      </c>
      <c r="R41" s="38">
        <f t="shared" si="161"/>
        <v>0</v>
      </c>
      <c r="S41" s="76">
        <f t="shared" si="18"/>
        <v>0</v>
      </c>
      <c r="T41" s="39">
        <f t="shared" si="162"/>
        <v>0</v>
      </c>
      <c r="U41" s="40">
        <f t="shared" si="20"/>
        <v>0</v>
      </c>
      <c r="V41" s="201" t="s">
        <v>57</v>
      </c>
      <c r="W41" s="43"/>
      <c r="X41" s="202"/>
      <c r="Y41" s="53">
        <f t="shared" si="163"/>
        <v>0</v>
      </c>
      <c r="Z41" s="54">
        <f t="shared" si="164"/>
        <v>0</v>
      </c>
      <c r="AA41" s="419">
        <f t="shared" si="165"/>
        <v>0</v>
      </c>
      <c r="AB41" s="260"/>
      <c r="AC41" s="277"/>
      <c r="AD41" s="265"/>
      <c r="AE41" s="265"/>
      <c r="AF41" s="265"/>
      <c r="AG41" s="265"/>
      <c r="AH41" s="265"/>
      <c r="AI41" s="265"/>
      <c r="AJ41" s="265"/>
      <c r="AK41" s="265"/>
      <c r="AL41" s="265"/>
      <c r="AM41" s="265"/>
      <c r="AN41" s="265"/>
      <c r="AO41" s="265"/>
      <c r="AP41" s="265"/>
      <c r="AQ41" s="265"/>
      <c r="AR41" s="278"/>
      <c r="AS41" s="279"/>
      <c r="AT41" s="30" t="s">
        <v>57</v>
      </c>
      <c r="AU41" s="202"/>
      <c r="AV41" s="49">
        <f t="shared" si="166"/>
        <v>30</v>
      </c>
      <c r="AW41" s="54">
        <f t="shared" si="167"/>
        <v>30</v>
      </c>
      <c r="AX41" s="427">
        <f t="shared" si="168"/>
        <v>30</v>
      </c>
      <c r="AY41" s="265"/>
      <c r="AZ41" s="277"/>
      <c r="BA41" s="265"/>
      <c r="BB41" s="265"/>
      <c r="BC41" s="265"/>
      <c r="BD41" s="265"/>
      <c r="BE41" s="265"/>
      <c r="BF41" s="265"/>
      <c r="BG41" s="265"/>
      <c r="BH41" s="265"/>
      <c r="BI41" s="265"/>
      <c r="BJ41" s="265"/>
      <c r="BK41" s="265"/>
      <c r="BL41" s="265"/>
      <c r="BM41" s="265">
        <v>30</v>
      </c>
      <c r="BN41" s="265"/>
      <c r="BO41" s="278"/>
      <c r="BP41" s="290">
        <v>0</v>
      </c>
      <c r="BQ41" s="141" t="str">
        <f t="shared" si="11"/>
        <v xml:space="preserve"> </v>
      </c>
      <c r="BR41" s="209" t="str">
        <f t="shared" ref="BR41" si="169">IF(OR(BQ41&gt;30,BQ41&lt;25),"1 ECTS powinien mieścić się przedziale 25-30h","Wartość prawidłowa")</f>
        <v>1 ECTS powinien mieścić się przedziale 25-30h</v>
      </c>
      <c r="BS41" s="926">
        <f t="shared" si="53"/>
        <v>30</v>
      </c>
      <c r="BT41" s="118">
        <f t="shared" si="54"/>
        <v>0</v>
      </c>
      <c r="BU41" s="118">
        <f t="shared" si="55"/>
        <v>0</v>
      </c>
      <c r="BV41" s="118">
        <f t="shared" si="56"/>
        <v>0</v>
      </c>
      <c r="BW41" s="118">
        <f t="shared" si="57"/>
        <v>0</v>
      </c>
      <c r="BX41" s="209">
        <f t="shared" si="58"/>
        <v>0</v>
      </c>
      <c r="BY41" s="927">
        <f t="shared" si="59"/>
        <v>30</v>
      </c>
      <c r="BZ41" s="928">
        <f t="shared" si="60"/>
        <v>0</v>
      </c>
      <c r="CA41" s="929">
        <f t="shared" si="61"/>
        <v>0</v>
      </c>
      <c r="CB41" s="929">
        <f t="shared" si="62"/>
        <v>0</v>
      </c>
      <c r="CC41" s="929">
        <f t="shared" si="63"/>
        <v>0</v>
      </c>
      <c r="CD41" s="929">
        <f t="shared" si="64"/>
        <v>0</v>
      </c>
      <c r="CE41" s="949">
        <f t="shared" si="65"/>
        <v>0</v>
      </c>
      <c r="CF41" s="963">
        <f t="shared" si="66"/>
        <v>0</v>
      </c>
      <c r="CG41" s="957">
        <f t="shared" si="21"/>
        <v>30</v>
      </c>
      <c r="CH41" s="209">
        <f t="shared" si="22"/>
        <v>0</v>
      </c>
      <c r="CI41" s="930">
        <f t="shared" si="23"/>
        <v>0</v>
      </c>
      <c r="CJ41" s="998">
        <f t="shared" si="24"/>
        <v>0</v>
      </c>
      <c r="CK41" s="1013">
        <f>Matryca!Q41</f>
        <v>0</v>
      </c>
      <c r="CL41" s="1014">
        <f>Matryca!R41</f>
        <v>1</v>
      </c>
      <c r="CM41" s="1015">
        <f>Matryca!S41</f>
        <v>0</v>
      </c>
    </row>
    <row r="42" spans="1:91" s="44" customFormat="1" ht="30" customHeight="1" thickBot="1" x14ac:dyDescent="0.3">
      <c r="A42" s="719"/>
      <c r="B42" s="720"/>
      <c r="C42" s="721"/>
      <c r="D42" s="721"/>
      <c r="E42" s="720"/>
      <c r="F42" s="721"/>
      <c r="G42" s="721"/>
      <c r="H42" s="722"/>
      <c r="I42" s="723" t="s">
        <v>108</v>
      </c>
      <c r="J42" s="724">
        <f>COUNTIF(J20:J41,"tak")</f>
        <v>0</v>
      </c>
      <c r="K42" s="725">
        <f>COUNTIF(K20:K41,"tak")</f>
        <v>1</v>
      </c>
      <c r="L42" s="725">
        <f>COUNTIF(L20:L41,"tak")</f>
        <v>2</v>
      </c>
      <c r="M42" s="726">
        <f t="shared" ref="M42:AR42" si="170">SUM(M20:M41)</f>
        <v>1593</v>
      </c>
      <c r="N42" s="726">
        <f t="shared" si="170"/>
        <v>730</v>
      </c>
      <c r="O42" s="726">
        <f t="shared" si="170"/>
        <v>863</v>
      </c>
      <c r="P42" s="726">
        <f t="shared" si="170"/>
        <v>863</v>
      </c>
      <c r="Q42" s="726">
        <f t="shared" si="170"/>
        <v>60</v>
      </c>
      <c r="R42" s="726">
        <f t="shared" si="170"/>
        <v>0</v>
      </c>
      <c r="S42" s="726">
        <f t="shared" si="170"/>
        <v>7</v>
      </c>
      <c r="T42" s="726">
        <f t="shared" si="170"/>
        <v>21.781818181818181</v>
      </c>
      <c r="U42" s="726">
        <f t="shared" si="170"/>
        <v>30.95</v>
      </c>
      <c r="V42" s="726">
        <f t="shared" si="170"/>
        <v>0</v>
      </c>
      <c r="W42" s="726">
        <f t="shared" si="170"/>
        <v>0</v>
      </c>
      <c r="X42" s="726">
        <f t="shared" si="170"/>
        <v>30</v>
      </c>
      <c r="Y42" s="726">
        <f t="shared" si="170"/>
        <v>808</v>
      </c>
      <c r="Z42" s="726">
        <f t="shared" si="170"/>
        <v>438</v>
      </c>
      <c r="AA42" s="726">
        <f t="shared" si="170"/>
        <v>438</v>
      </c>
      <c r="AB42" s="726">
        <f t="shared" si="170"/>
        <v>135</v>
      </c>
      <c r="AC42" s="726">
        <f t="shared" si="170"/>
        <v>135</v>
      </c>
      <c r="AD42" s="726">
        <f t="shared" si="170"/>
        <v>10</v>
      </c>
      <c r="AE42" s="726">
        <f t="shared" si="170"/>
        <v>160</v>
      </c>
      <c r="AF42" s="726">
        <f t="shared" si="170"/>
        <v>40</v>
      </c>
      <c r="AG42" s="726">
        <f t="shared" si="170"/>
        <v>0</v>
      </c>
      <c r="AH42" s="726">
        <f t="shared" si="170"/>
        <v>0</v>
      </c>
      <c r="AI42" s="726">
        <f t="shared" si="170"/>
        <v>0</v>
      </c>
      <c r="AJ42" s="726">
        <f t="shared" si="170"/>
        <v>25</v>
      </c>
      <c r="AK42" s="726">
        <f t="shared" si="170"/>
        <v>0</v>
      </c>
      <c r="AL42" s="726">
        <f t="shared" si="170"/>
        <v>0</v>
      </c>
      <c r="AM42" s="726">
        <f t="shared" si="170"/>
        <v>0</v>
      </c>
      <c r="AN42" s="726">
        <f t="shared" si="170"/>
        <v>30</v>
      </c>
      <c r="AO42" s="726">
        <f t="shared" si="170"/>
        <v>8</v>
      </c>
      <c r="AP42" s="726">
        <f t="shared" si="170"/>
        <v>30</v>
      </c>
      <c r="AQ42" s="726">
        <f t="shared" si="170"/>
        <v>0</v>
      </c>
      <c r="AR42" s="726">
        <f t="shared" si="170"/>
        <v>0</v>
      </c>
      <c r="AS42" s="726">
        <f t="shared" ref="AS42:BP42" si="171">SUM(AS20:AS41)</f>
        <v>370</v>
      </c>
      <c r="AT42" s="726">
        <f t="shared" si="171"/>
        <v>0</v>
      </c>
      <c r="AU42" s="726">
        <f t="shared" si="171"/>
        <v>30</v>
      </c>
      <c r="AV42" s="726">
        <f t="shared" si="171"/>
        <v>785</v>
      </c>
      <c r="AW42" s="726">
        <f t="shared" si="171"/>
        <v>425</v>
      </c>
      <c r="AX42" s="726">
        <f t="shared" si="171"/>
        <v>425</v>
      </c>
      <c r="AY42" s="726">
        <f t="shared" si="171"/>
        <v>115</v>
      </c>
      <c r="AZ42" s="726">
        <f t="shared" si="171"/>
        <v>115</v>
      </c>
      <c r="BA42" s="726">
        <f t="shared" si="171"/>
        <v>15</v>
      </c>
      <c r="BB42" s="726">
        <f t="shared" si="171"/>
        <v>145</v>
      </c>
      <c r="BC42" s="726">
        <f t="shared" si="171"/>
        <v>50</v>
      </c>
      <c r="BD42" s="726">
        <f t="shared" si="171"/>
        <v>0</v>
      </c>
      <c r="BE42" s="726">
        <f t="shared" si="171"/>
        <v>10</v>
      </c>
      <c r="BF42" s="726">
        <f t="shared" si="171"/>
        <v>0</v>
      </c>
      <c r="BG42" s="726">
        <f t="shared" si="171"/>
        <v>30</v>
      </c>
      <c r="BH42" s="726">
        <f t="shared" si="171"/>
        <v>0</v>
      </c>
      <c r="BI42" s="726">
        <f t="shared" si="171"/>
        <v>0</v>
      </c>
      <c r="BJ42" s="726">
        <f t="shared" si="171"/>
        <v>0</v>
      </c>
      <c r="BK42" s="726">
        <f t="shared" si="171"/>
        <v>30</v>
      </c>
      <c r="BL42" s="726">
        <f t="shared" si="171"/>
        <v>0</v>
      </c>
      <c r="BM42" s="726">
        <f t="shared" si="171"/>
        <v>30</v>
      </c>
      <c r="BN42" s="726">
        <f t="shared" si="171"/>
        <v>0</v>
      </c>
      <c r="BO42" s="726">
        <f t="shared" si="171"/>
        <v>0</v>
      </c>
      <c r="BP42" s="726">
        <f t="shared" si="171"/>
        <v>360</v>
      </c>
      <c r="BQ42" s="727"/>
      <c r="BR42" s="728"/>
      <c r="BS42" s="726">
        <f t="shared" ref="BS42:CJ42" si="172">SUM(BS20:BS41)</f>
        <v>605</v>
      </c>
      <c r="BT42" s="726">
        <f t="shared" si="172"/>
        <v>250</v>
      </c>
      <c r="BU42" s="726">
        <f t="shared" si="172"/>
        <v>8</v>
      </c>
      <c r="BV42" s="726">
        <f t="shared" si="172"/>
        <v>0</v>
      </c>
      <c r="BW42" s="726">
        <f t="shared" si="172"/>
        <v>730</v>
      </c>
      <c r="BX42" s="726">
        <f t="shared" si="172"/>
        <v>0</v>
      </c>
      <c r="BY42" s="726">
        <f t="shared" si="172"/>
        <v>1593</v>
      </c>
      <c r="BZ42" s="931">
        <f t="shared" si="172"/>
        <v>20.975000000000001</v>
      </c>
      <c r="CA42" s="931">
        <f t="shared" si="172"/>
        <v>9.9749999999999996</v>
      </c>
      <c r="CB42" s="931">
        <f t="shared" si="172"/>
        <v>0</v>
      </c>
      <c r="CC42" s="931">
        <f t="shared" si="172"/>
        <v>0</v>
      </c>
      <c r="CD42" s="931">
        <f t="shared" si="172"/>
        <v>29.049999999999997</v>
      </c>
      <c r="CE42" s="950">
        <f t="shared" si="172"/>
        <v>0</v>
      </c>
      <c r="CF42" s="964">
        <f t="shared" si="172"/>
        <v>60</v>
      </c>
      <c r="CG42" s="726">
        <f t="shared" si="172"/>
        <v>855</v>
      </c>
      <c r="CH42" s="726">
        <f t="shared" si="172"/>
        <v>258</v>
      </c>
      <c r="CI42" s="931">
        <f t="shared" si="172"/>
        <v>30.95</v>
      </c>
      <c r="CJ42" s="950">
        <f t="shared" si="172"/>
        <v>9.9749999999999996</v>
      </c>
      <c r="CK42" s="950">
        <f>Matryca!Q42</f>
        <v>17</v>
      </c>
      <c r="CL42" s="950">
        <f>Matryca!R42</f>
        <v>25</v>
      </c>
      <c r="CM42" s="950">
        <f>Matryca!S42</f>
        <v>22</v>
      </c>
    </row>
    <row r="43" spans="1:91" s="44" customFormat="1" ht="30" customHeight="1" x14ac:dyDescent="0.25">
      <c r="A43" s="78">
        <v>23</v>
      </c>
      <c r="B43" s="79"/>
      <c r="C43" s="80" t="s">
        <v>107</v>
      </c>
      <c r="D43" s="80"/>
      <c r="E43" s="79">
        <v>2</v>
      </c>
      <c r="F43" s="80" t="s">
        <v>459</v>
      </c>
      <c r="G43" s="80" t="s">
        <v>59</v>
      </c>
      <c r="H43" s="81"/>
      <c r="I43" s="119" t="s">
        <v>457</v>
      </c>
      <c r="J43" s="119"/>
      <c r="K43" s="119"/>
      <c r="L43" s="1089" t="s">
        <v>417</v>
      </c>
      <c r="M43" s="191">
        <f t="shared" ref="M43:M60" si="173">Y43+AV43</f>
        <v>100</v>
      </c>
      <c r="N43" s="75">
        <f t="shared" ref="N43:N60" si="174">AS43+BP43</f>
        <v>60</v>
      </c>
      <c r="O43" s="82">
        <f t="shared" ref="O43:O60" si="175">Z43+AW43</f>
        <v>40</v>
      </c>
      <c r="P43" s="414">
        <f t="shared" ref="P43:P60" si="176">AA43+AX43</f>
        <v>40</v>
      </c>
      <c r="Q43" s="83">
        <f t="shared" ref="Q43:Q60" si="177">X43+AU43</f>
        <v>4</v>
      </c>
      <c r="R43" s="84">
        <f t="shared" ref="R43:R60" si="178">IFERROR((AL43+BI43)*Q43/O43," ")</f>
        <v>0</v>
      </c>
      <c r="S43" s="84">
        <f t="shared" ref="S43:S60" si="179">IFERROR(IF(L43="tak",(SUM(AE43:AL43,AQ43,BB43:BI43,BN43))*Q43/O43,0),0)</f>
        <v>3.5</v>
      </c>
      <c r="T43" s="85">
        <f t="shared" ref="T43:T60" si="180">IFERROR((AC43+AO43+AZ43+BL43)*Q43/O43," ")</f>
        <v>0.5</v>
      </c>
      <c r="U43" s="86">
        <f t="shared" ref="U43:U60" si="181">IFERROR((SUM(AB43,AD43:AN43,AY43,BA43:BK43,AP43:AQ43,BM43:BN43)*Q43/M43)," ")</f>
        <v>1.6</v>
      </c>
      <c r="V43" s="198" t="s">
        <v>56</v>
      </c>
      <c r="W43" s="43"/>
      <c r="X43" s="154"/>
      <c r="Y43" s="41">
        <f t="shared" ref="Y43:Y60" si="182">AS43+Z43</f>
        <v>0</v>
      </c>
      <c r="Z43" s="42">
        <f t="shared" ref="Z43:Z60" si="183">AR43+AA43</f>
        <v>0</v>
      </c>
      <c r="AA43" s="422">
        <f t="shared" ref="AA43:AA60" si="184">(SUM(AB43:AQ43))-AC43</f>
        <v>0</v>
      </c>
      <c r="AB43" s="261"/>
      <c r="AC43" s="730"/>
      <c r="AD43" s="729"/>
      <c r="AE43" s="312"/>
      <c r="AF43" s="312"/>
      <c r="AG43" s="312"/>
      <c r="AH43" s="312"/>
      <c r="AI43" s="312"/>
      <c r="AJ43" s="312"/>
      <c r="AK43" s="312"/>
      <c r="AL43" s="312"/>
      <c r="AM43" s="312"/>
      <c r="AN43" s="312"/>
      <c r="AO43" s="312"/>
      <c r="AP43" s="312"/>
      <c r="AQ43" s="312"/>
      <c r="AR43" s="314"/>
      <c r="AS43" s="673"/>
      <c r="AT43" s="43" t="s">
        <v>99</v>
      </c>
      <c r="AU43" s="203">
        <v>4</v>
      </c>
      <c r="AV43" s="49">
        <f t="shared" ref="AV43:AV60" si="185">BP43+AW43</f>
        <v>100</v>
      </c>
      <c r="AW43" s="54">
        <f t="shared" ref="AW43:AW60" si="186">BO43+AX43</f>
        <v>40</v>
      </c>
      <c r="AX43" s="427">
        <f t="shared" ref="AX43:AX60" si="187">(SUM(AY43:BN43))-AZ43</f>
        <v>40</v>
      </c>
      <c r="AY43" s="281">
        <v>5</v>
      </c>
      <c r="AZ43" s="280">
        <v>5</v>
      </c>
      <c r="BA43" s="281"/>
      <c r="BB43" s="281">
        <v>35</v>
      </c>
      <c r="BC43" s="281"/>
      <c r="BD43" s="281"/>
      <c r="BE43" s="281"/>
      <c r="BF43" s="281"/>
      <c r="BG43" s="281"/>
      <c r="BH43" s="281"/>
      <c r="BI43" s="281"/>
      <c r="BJ43" s="281"/>
      <c r="BK43" s="281"/>
      <c r="BL43" s="281"/>
      <c r="BM43" s="281"/>
      <c r="BN43" s="281"/>
      <c r="BO43" s="282"/>
      <c r="BP43" s="283">
        <v>60</v>
      </c>
      <c r="BQ43" s="141">
        <f t="shared" ref="BQ43:BQ60" si="188">IFERROR(M43/Q43," ")</f>
        <v>25</v>
      </c>
      <c r="BR43" s="209" t="str">
        <f t="shared" ref="BR43:BR58" si="189">IF(OR(BQ43&gt;30,BQ43&lt;25),"1 ECTS powinien mieścić się przedziale 25-30h","Wartość prawidłowa")</f>
        <v>Wartość prawidłowa</v>
      </c>
      <c r="BS43" s="926">
        <f t="shared" si="53"/>
        <v>35</v>
      </c>
      <c r="BT43" s="118">
        <f t="shared" si="54"/>
        <v>5</v>
      </c>
      <c r="BU43" s="118">
        <f t="shared" si="55"/>
        <v>0</v>
      </c>
      <c r="BV43" s="118">
        <f t="shared" si="56"/>
        <v>0</v>
      </c>
      <c r="BW43" s="118">
        <f t="shared" si="57"/>
        <v>60</v>
      </c>
      <c r="BX43" s="209">
        <f t="shared" si="58"/>
        <v>0</v>
      </c>
      <c r="BY43" s="927">
        <f t="shared" si="59"/>
        <v>100</v>
      </c>
      <c r="BZ43" s="928">
        <f t="shared" si="60"/>
        <v>1.4</v>
      </c>
      <c r="CA43" s="929">
        <f t="shared" si="61"/>
        <v>0.2</v>
      </c>
      <c r="CB43" s="929">
        <f t="shared" si="62"/>
        <v>0</v>
      </c>
      <c r="CC43" s="929">
        <f t="shared" si="63"/>
        <v>0</v>
      </c>
      <c r="CD43" s="929">
        <f t="shared" si="64"/>
        <v>2.4</v>
      </c>
      <c r="CE43" s="949">
        <f t="shared" si="65"/>
        <v>0</v>
      </c>
      <c r="CF43" s="963">
        <f t="shared" si="66"/>
        <v>4</v>
      </c>
      <c r="CG43" s="957">
        <f t="shared" ref="CG43:CG60" si="190">SUM(BS43:BT43,BX43)</f>
        <v>40</v>
      </c>
      <c r="CH43" s="209">
        <f t="shared" ref="CH43:CH60" si="191">SUM(BT43:BU43)</f>
        <v>5</v>
      </c>
      <c r="CI43" s="930">
        <f t="shared" ref="CI43:CI60" si="192">SUM(BZ43:CA43,CE43)</f>
        <v>1.5999999999999999</v>
      </c>
      <c r="CJ43" s="998">
        <f t="shared" ref="CJ43:CJ60" si="193">SUM(CA43:CB43)</f>
        <v>0.2</v>
      </c>
      <c r="CK43" s="1016">
        <f>Matryca!Q43</f>
        <v>1</v>
      </c>
      <c r="CL43" s="1017">
        <f>Matryca!R43</f>
        <v>2</v>
      </c>
      <c r="CM43" s="1018">
        <f>Matryca!S43</f>
        <v>2</v>
      </c>
    </row>
    <row r="44" spans="1:91" s="44" customFormat="1" ht="30" customHeight="1" x14ac:dyDescent="0.25">
      <c r="A44" s="46">
        <v>24</v>
      </c>
      <c r="B44" s="31"/>
      <c r="C44" s="32" t="s">
        <v>107</v>
      </c>
      <c r="D44" s="46"/>
      <c r="E44" s="47">
        <v>2</v>
      </c>
      <c r="F44" s="32" t="s">
        <v>459</v>
      </c>
      <c r="G44" s="46" t="s">
        <v>59</v>
      </c>
      <c r="H44" s="33"/>
      <c r="I44" s="194" t="s">
        <v>741</v>
      </c>
      <c r="J44" s="118"/>
      <c r="K44" s="118"/>
      <c r="L44" s="1089" t="s">
        <v>418</v>
      </c>
      <c r="M44" s="192">
        <f t="shared" si="173"/>
        <v>50</v>
      </c>
      <c r="N44" s="50">
        <f t="shared" si="174"/>
        <v>20</v>
      </c>
      <c r="O44" s="51">
        <f t="shared" si="175"/>
        <v>30</v>
      </c>
      <c r="P44" s="415">
        <f t="shared" si="176"/>
        <v>30</v>
      </c>
      <c r="Q44" s="52">
        <f t="shared" si="177"/>
        <v>2</v>
      </c>
      <c r="R44" s="38">
        <f t="shared" si="178"/>
        <v>0</v>
      </c>
      <c r="S44" s="38">
        <f t="shared" si="179"/>
        <v>0</v>
      </c>
      <c r="T44" s="39">
        <f t="shared" si="180"/>
        <v>0</v>
      </c>
      <c r="U44" s="40">
        <f t="shared" si="181"/>
        <v>1.2</v>
      </c>
      <c r="V44" s="201" t="s">
        <v>99</v>
      </c>
      <c r="W44" s="43" t="s">
        <v>99</v>
      </c>
      <c r="X44" s="155">
        <v>2</v>
      </c>
      <c r="Y44" s="53">
        <f t="shared" si="182"/>
        <v>50</v>
      </c>
      <c r="Z44" s="54">
        <f t="shared" si="183"/>
        <v>30</v>
      </c>
      <c r="AA44" s="419">
        <f t="shared" si="184"/>
        <v>30</v>
      </c>
      <c r="AB44" s="260"/>
      <c r="AC44" s="440"/>
      <c r="AD44" s="260"/>
      <c r="AE44" s="265"/>
      <c r="AF44" s="265"/>
      <c r="AG44" s="265"/>
      <c r="AH44" s="265"/>
      <c r="AI44" s="265"/>
      <c r="AJ44" s="265"/>
      <c r="AK44" s="265"/>
      <c r="AL44" s="265"/>
      <c r="AM44" s="265"/>
      <c r="AN44" s="265">
        <v>30</v>
      </c>
      <c r="AO44" s="265"/>
      <c r="AP44" s="265"/>
      <c r="AQ44" s="265"/>
      <c r="AR44" s="278"/>
      <c r="AS44" s="675">
        <v>20</v>
      </c>
      <c r="AT44" s="43"/>
      <c r="AU44" s="155"/>
      <c r="AV44" s="49">
        <f t="shared" si="185"/>
        <v>0</v>
      </c>
      <c r="AW44" s="54">
        <f t="shared" si="186"/>
        <v>0</v>
      </c>
      <c r="AX44" s="427">
        <f t="shared" si="187"/>
        <v>0</v>
      </c>
      <c r="AY44" s="265"/>
      <c r="AZ44" s="277"/>
      <c r="BA44" s="265"/>
      <c r="BB44" s="265"/>
      <c r="BC44" s="265"/>
      <c r="BD44" s="265"/>
      <c r="BE44" s="265"/>
      <c r="BF44" s="265"/>
      <c r="BG44" s="265"/>
      <c r="BH44" s="265"/>
      <c r="BI44" s="265"/>
      <c r="BJ44" s="265"/>
      <c r="BK44" s="265"/>
      <c r="BL44" s="265"/>
      <c r="BM44" s="265"/>
      <c r="BN44" s="265"/>
      <c r="BO44" s="278"/>
      <c r="BP44" s="675"/>
      <c r="BQ44" s="141">
        <f t="shared" si="188"/>
        <v>25</v>
      </c>
      <c r="BR44" s="209" t="str">
        <f t="shared" si="189"/>
        <v>Wartość prawidłowa</v>
      </c>
      <c r="BS44" s="926">
        <f t="shared" si="53"/>
        <v>30</v>
      </c>
      <c r="BT44" s="118">
        <f t="shared" si="54"/>
        <v>0</v>
      </c>
      <c r="BU44" s="118">
        <f t="shared" si="55"/>
        <v>0</v>
      </c>
      <c r="BV44" s="118">
        <f t="shared" si="56"/>
        <v>0</v>
      </c>
      <c r="BW44" s="118">
        <f t="shared" si="57"/>
        <v>20</v>
      </c>
      <c r="BX44" s="209">
        <f t="shared" si="58"/>
        <v>0</v>
      </c>
      <c r="BY44" s="927">
        <f t="shared" si="59"/>
        <v>50</v>
      </c>
      <c r="BZ44" s="928">
        <f t="shared" si="60"/>
        <v>1.2</v>
      </c>
      <c r="CA44" s="929">
        <f t="shared" si="61"/>
        <v>0</v>
      </c>
      <c r="CB44" s="929">
        <f t="shared" si="62"/>
        <v>0</v>
      </c>
      <c r="CC44" s="929">
        <f t="shared" si="63"/>
        <v>0</v>
      </c>
      <c r="CD44" s="929">
        <f t="shared" si="64"/>
        <v>0.8</v>
      </c>
      <c r="CE44" s="949">
        <f t="shared" si="65"/>
        <v>0</v>
      </c>
      <c r="CF44" s="963">
        <f t="shared" si="66"/>
        <v>2</v>
      </c>
      <c r="CG44" s="957">
        <f t="shared" si="190"/>
        <v>30</v>
      </c>
      <c r="CH44" s="209">
        <f t="shared" si="191"/>
        <v>0</v>
      </c>
      <c r="CI44" s="930">
        <f t="shared" si="192"/>
        <v>1.2</v>
      </c>
      <c r="CJ44" s="998">
        <f t="shared" si="193"/>
        <v>0</v>
      </c>
      <c r="CK44" s="1000">
        <f>Matryca!Q44</f>
        <v>0</v>
      </c>
      <c r="CL44" s="1001">
        <f>Matryca!R44</f>
        <v>1</v>
      </c>
      <c r="CM44" s="1002">
        <f>Matryca!S44</f>
        <v>1</v>
      </c>
    </row>
    <row r="45" spans="1:91" s="44" customFormat="1" ht="30" customHeight="1" x14ac:dyDescent="0.25">
      <c r="A45" s="46">
        <v>25</v>
      </c>
      <c r="B45" s="31"/>
      <c r="C45" s="32" t="s">
        <v>107</v>
      </c>
      <c r="D45" s="46"/>
      <c r="E45" s="47">
        <v>2</v>
      </c>
      <c r="F45" s="32" t="s">
        <v>459</v>
      </c>
      <c r="G45" s="46" t="s">
        <v>59</v>
      </c>
      <c r="H45" s="33"/>
      <c r="I45" s="872" t="s">
        <v>742</v>
      </c>
      <c r="J45" s="118"/>
      <c r="K45" s="118"/>
      <c r="L45" s="1089" t="s">
        <v>418</v>
      </c>
      <c r="M45" s="192">
        <f t="shared" ref="M45" si="194">Y45+AV45</f>
        <v>75</v>
      </c>
      <c r="N45" s="50">
        <f t="shared" ref="N45" si="195">AS45+BP45</f>
        <v>45</v>
      </c>
      <c r="O45" s="51">
        <f t="shared" ref="O45" si="196">Z45+AW45</f>
        <v>30</v>
      </c>
      <c r="P45" s="415">
        <f t="shared" ref="P45" si="197">AA45+AX45</f>
        <v>30</v>
      </c>
      <c r="Q45" s="52">
        <f t="shared" ref="Q45" si="198">X45+AU45</f>
        <v>3</v>
      </c>
      <c r="R45" s="38">
        <f t="shared" ref="R45" si="199">IFERROR((AL45+BI45)*Q45/O45," ")</f>
        <v>0</v>
      </c>
      <c r="S45" s="38">
        <f t="shared" si="179"/>
        <v>0</v>
      </c>
      <c r="T45" s="39">
        <f t="shared" ref="T45" si="200">IFERROR((AC45+AO45+AZ45+BL45)*Q45/O45," ")</f>
        <v>0</v>
      </c>
      <c r="U45" s="40">
        <f t="shared" si="181"/>
        <v>1.2</v>
      </c>
      <c r="V45" s="201" t="s">
        <v>56</v>
      </c>
      <c r="W45" s="43"/>
      <c r="X45" s="155"/>
      <c r="Y45" s="53">
        <f t="shared" ref="Y45" si="201">AS45+Z45</f>
        <v>0</v>
      </c>
      <c r="Z45" s="54">
        <f t="shared" ref="Z45" si="202">AR45+AA45</f>
        <v>0</v>
      </c>
      <c r="AA45" s="419">
        <f t="shared" ref="AA45" si="203">(SUM(AB45:AQ45))-AC45</f>
        <v>0</v>
      </c>
      <c r="AB45" s="260"/>
      <c r="AC45" s="440"/>
      <c r="AD45" s="260"/>
      <c r="AE45" s="265"/>
      <c r="AF45" s="265"/>
      <c r="AG45" s="265"/>
      <c r="AH45" s="265"/>
      <c r="AI45" s="265"/>
      <c r="AJ45" s="265"/>
      <c r="AK45" s="265"/>
      <c r="AL45" s="265"/>
      <c r="AM45" s="265"/>
      <c r="AN45" s="265"/>
      <c r="AO45" s="265"/>
      <c r="AP45" s="265"/>
      <c r="AQ45" s="265"/>
      <c r="AR45" s="278"/>
      <c r="AS45" s="675"/>
      <c r="AT45" s="43" t="s">
        <v>99</v>
      </c>
      <c r="AU45" s="155">
        <v>3</v>
      </c>
      <c r="AV45" s="49">
        <f t="shared" ref="AV45" si="204">BP45+AW45</f>
        <v>75</v>
      </c>
      <c r="AW45" s="54">
        <f t="shared" ref="AW45" si="205">BO45+AX45</f>
        <v>30</v>
      </c>
      <c r="AX45" s="427">
        <f t="shared" ref="AX45" si="206">(SUM(AY45:BN45))-AZ45</f>
        <v>30</v>
      </c>
      <c r="AY45" s="265"/>
      <c r="AZ45" s="277"/>
      <c r="BA45" s="265"/>
      <c r="BB45" s="265"/>
      <c r="BC45" s="265"/>
      <c r="BD45" s="265"/>
      <c r="BE45" s="265"/>
      <c r="BF45" s="265"/>
      <c r="BG45" s="265"/>
      <c r="BH45" s="265"/>
      <c r="BI45" s="265"/>
      <c r="BJ45" s="265"/>
      <c r="BK45" s="265">
        <v>30</v>
      </c>
      <c r="BL45" s="265"/>
      <c r="BM45" s="265"/>
      <c r="BN45" s="265"/>
      <c r="BO45" s="278"/>
      <c r="BP45" s="675">
        <v>45</v>
      </c>
      <c r="BQ45" s="141">
        <f t="shared" ref="BQ45" si="207">IFERROR(M45/Q45," ")</f>
        <v>25</v>
      </c>
      <c r="BR45" s="209" t="str">
        <f t="shared" ref="BR45" si="208">IF(OR(BQ45&gt;30,BQ45&lt;25),"1 ECTS powinien mieścić się przedziale 25-30h","Wartość prawidłowa")</f>
        <v>Wartość prawidłowa</v>
      </c>
      <c r="BS45" s="926">
        <f t="shared" si="53"/>
        <v>30</v>
      </c>
      <c r="BT45" s="118">
        <f t="shared" si="54"/>
        <v>0</v>
      </c>
      <c r="BU45" s="118">
        <f t="shared" si="55"/>
        <v>0</v>
      </c>
      <c r="BV45" s="118">
        <f t="shared" si="56"/>
        <v>0</v>
      </c>
      <c r="BW45" s="118">
        <f t="shared" si="57"/>
        <v>45</v>
      </c>
      <c r="BX45" s="209">
        <f t="shared" si="58"/>
        <v>0</v>
      </c>
      <c r="BY45" s="927">
        <f t="shared" si="59"/>
        <v>75</v>
      </c>
      <c r="BZ45" s="928">
        <f t="shared" si="60"/>
        <v>1.2</v>
      </c>
      <c r="CA45" s="929">
        <f t="shared" si="61"/>
        <v>0</v>
      </c>
      <c r="CB45" s="929">
        <f t="shared" si="62"/>
        <v>0</v>
      </c>
      <c r="CC45" s="929">
        <f t="shared" si="63"/>
        <v>0</v>
      </c>
      <c r="CD45" s="929">
        <f t="shared" si="64"/>
        <v>1.8</v>
      </c>
      <c r="CE45" s="949">
        <f t="shared" si="65"/>
        <v>0</v>
      </c>
      <c r="CF45" s="963">
        <f t="shared" si="66"/>
        <v>3</v>
      </c>
      <c r="CG45" s="957">
        <f t="shared" si="190"/>
        <v>30</v>
      </c>
      <c r="CH45" s="209">
        <f t="shared" si="191"/>
        <v>0</v>
      </c>
      <c r="CI45" s="930">
        <f t="shared" si="192"/>
        <v>1.2</v>
      </c>
      <c r="CJ45" s="998">
        <f t="shared" si="193"/>
        <v>0</v>
      </c>
      <c r="CK45" s="1000">
        <f>Matryca!Q45</f>
        <v>0</v>
      </c>
      <c r="CL45" s="1001">
        <f>Matryca!R45</f>
        <v>1</v>
      </c>
      <c r="CM45" s="1002">
        <f>Matryca!S45</f>
        <v>1</v>
      </c>
    </row>
    <row r="46" spans="1:91" s="44" customFormat="1" ht="30" customHeight="1" x14ac:dyDescent="0.25">
      <c r="A46" s="46">
        <v>26</v>
      </c>
      <c r="B46" s="31"/>
      <c r="C46" s="46" t="s">
        <v>107</v>
      </c>
      <c r="D46" s="46"/>
      <c r="E46" s="47">
        <v>2</v>
      </c>
      <c r="F46" s="46" t="s">
        <v>459</v>
      </c>
      <c r="G46" s="46" t="s">
        <v>59</v>
      </c>
      <c r="H46" s="33"/>
      <c r="I46" s="118" t="s">
        <v>447</v>
      </c>
      <c r="J46" s="118"/>
      <c r="K46" s="118"/>
      <c r="L46" s="1089" t="s">
        <v>418</v>
      </c>
      <c r="M46" s="192">
        <f t="shared" si="173"/>
        <v>100</v>
      </c>
      <c r="N46" s="50">
        <f t="shared" si="174"/>
        <v>40</v>
      </c>
      <c r="O46" s="51">
        <f t="shared" si="175"/>
        <v>60</v>
      </c>
      <c r="P46" s="415">
        <f t="shared" si="176"/>
        <v>60</v>
      </c>
      <c r="Q46" s="52">
        <f t="shared" si="177"/>
        <v>4</v>
      </c>
      <c r="R46" s="38">
        <f t="shared" si="178"/>
        <v>0</v>
      </c>
      <c r="S46" s="38">
        <f t="shared" si="179"/>
        <v>0</v>
      </c>
      <c r="T46" s="39">
        <f t="shared" si="180"/>
        <v>2</v>
      </c>
      <c r="U46" s="40">
        <f t="shared" si="181"/>
        <v>2.4</v>
      </c>
      <c r="V46" s="201" t="s">
        <v>56</v>
      </c>
      <c r="W46" s="43" t="s">
        <v>99</v>
      </c>
      <c r="X46" s="155">
        <v>4</v>
      </c>
      <c r="Y46" s="53">
        <f t="shared" si="182"/>
        <v>100</v>
      </c>
      <c r="Z46" s="54">
        <f t="shared" si="183"/>
        <v>60</v>
      </c>
      <c r="AA46" s="419">
        <f t="shared" si="184"/>
        <v>60</v>
      </c>
      <c r="AB46" s="260">
        <v>30</v>
      </c>
      <c r="AC46" s="440">
        <v>30</v>
      </c>
      <c r="AD46" s="260"/>
      <c r="AE46" s="886">
        <v>30</v>
      </c>
      <c r="AG46" s="265"/>
      <c r="AH46" s="265"/>
      <c r="AI46" s="265"/>
      <c r="AJ46" s="265"/>
      <c r="AK46" s="265"/>
      <c r="AL46" s="265"/>
      <c r="AM46" s="265"/>
      <c r="AN46" s="265"/>
      <c r="AO46" s="265"/>
      <c r="AP46" s="265"/>
      <c r="AQ46" s="265"/>
      <c r="AR46" s="278"/>
      <c r="AS46" s="675">
        <v>40</v>
      </c>
      <c r="AT46" s="43"/>
      <c r="AU46" s="203"/>
      <c r="AV46" s="49">
        <f t="shared" si="185"/>
        <v>0</v>
      </c>
      <c r="AW46" s="54">
        <f t="shared" si="186"/>
        <v>0</v>
      </c>
      <c r="AX46" s="427">
        <f t="shared" si="187"/>
        <v>0</v>
      </c>
      <c r="AY46" s="281"/>
      <c r="AZ46" s="280"/>
      <c r="BA46" s="281"/>
      <c r="BB46" s="281"/>
      <c r="BC46" s="281"/>
      <c r="BD46" s="281"/>
      <c r="BE46" s="281"/>
      <c r="BF46" s="281"/>
      <c r="BG46" s="281"/>
      <c r="BH46" s="281"/>
      <c r="BI46" s="281"/>
      <c r="BJ46" s="281"/>
      <c r="BK46" s="281"/>
      <c r="BL46" s="281"/>
      <c r="BM46" s="281"/>
      <c r="BN46" s="281"/>
      <c r="BO46" s="282"/>
      <c r="BP46" s="283"/>
      <c r="BQ46" s="141">
        <f t="shared" si="188"/>
        <v>25</v>
      </c>
      <c r="BR46" s="209" t="str">
        <f t="shared" si="189"/>
        <v>Wartość prawidłowa</v>
      </c>
      <c r="BS46" s="926">
        <f t="shared" si="53"/>
        <v>30</v>
      </c>
      <c r="BT46" s="118">
        <f t="shared" si="54"/>
        <v>30</v>
      </c>
      <c r="BU46" s="118">
        <f t="shared" si="55"/>
        <v>0</v>
      </c>
      <c r="BV46" s="118">
        <f t="shared" si="56"/>
        <v>0</v>
      </c>
      <c r="BW46" s="118">
        <f t="shared" si="57"/>
        <v>40</v>
      </c>
      <c r="BX46" s="209">
        <f t="shared" si="58"/>
        <v>0</v>
      </c>
      <c r="BY46" s="927">
        <f t="shared" si="59"/>
        <v>100</v>
      </c>
      <c r="BZ46" s="928">
        <f t="shared" si="60"/>
        <v>1.2</v>
      </c>
      <c r="CA46" s="929">
        <f t="shared" si="61"/>
        <v>1.2</v>
      </c>
      <c r="CB46" s="929">
        <f t="shared" si="62"/>
        <v>0</v>
      </c>
      <c r="CC46" s="929">
        <f t="shared" si="63"/>
        <v>0</v>
      </c>
      <c r="CD46" s="929">
        <f t="shared" si="64"/>
        <v>1.6</v>
      </c>
      <c r="CE46" s="949">
        <f t="shared" si="65"/>
        <v>0</v>
      </c>
      <c r="CF46" s="963">
        <f t="shared" si="66"/>
        <v>4</v>
      </c>
      <c r="CG46" s="957">
        <f t="shared" si="190"/>
        <v>60</v>
      </c>
      <c r="CH46" s="209">
        <f t="shared" si="191"/>
        <v>30</v>
      </c>
      <c r="CI46" s="930">
        <f t="shared" si="192"/>
        <v>2.4</v>
      </c>
      <c r="CJ46" s="998">
        <f t="shared" si="193"/>
        <v>1.2</v>
      </c>
      <c r="CK46" s="1000">
        <f>Matryca!Q46</f>
        <v>3</v>
      </c>
      <c r="CL46" s="1001">
        <f>Matryca!R46</f>
        <v>1</v>
      </c>
      <c r="CM46" s="1002">
        <f>Matryca!S46</f>
        <v>1</v>
      </c>
    </row>
    <row r="47" spans="1:91" s="44" customFormat="1" ht="30" customHeight="1" x14ac:dyDescent="0.25">
      <c r="A47" s="46">
        <v>27</v>
      </c>
      <c r="B47" s="31"/>
      <c r="C47" s="46" t="s">
        <v>107</v>
      </c>
      <c r="D47" s="46"/>
      <c r="E47" s="47">
        <v>2</v>
      </c>
      <c r="F47" s="46" t="s">
        <v>459</v>
      </c>
      <c r="G47" s="46" t="s">
        <v>59</v>
      </c>
      <c r="H47" s="33"/>
      <c r="I47" s="118" t="s">
        <v>453</v>
      </c>
      <c r="J47" s="118"/>
      <c r="K47" s="118"/>
      <c r="L47" s="1089" t="s">
        <v>418</v>
      </c>
      <c r="M47" s="192">
        <f t="shared" si="173"/>
        <v>25</v>
      </c>
      <c r="N47" s="50">
        <f t="shared" si="174"/>
        <v>10</v>
      </c>
      <c r="O47" s="51">
        <f t="shared" si="175"/>
        <v>15</v>
      </c>
      <c r="P47" s="415">
        <f t="shared" si="176"/>
        <v>15</v>
      </c>
      <c r="Q47" s="52">
        <f t="shared" si="177"/>
        <v>1</v>
      </c>
      <c r="R47" s="38">
        <f t="shared" si="178"/>
        <v>0</v>
      </c>
      <c r="S47" s="38">
        <f t="shared" si="179"/>
        <v>0</v>
      </c>
      <c r="T47" s="39">
        <f t="shared" si="180"/>
        <v>0.66666666666666663</v>
      </c>
      <c r="U47" s="77">
        <f t="shared" si="181"/>
        <v>0.4</v>
      </c>
      <c r="V47" s="201" t="s">
        <v>99</v>
      </c>
      <c r="W47" s="43" t="s">
        <v>99</v>
      </c>
      <c r="X47" s="155"/>
      <c r="Y47" s="53">
        <f t="shared" si="182"/>
        <v>0</v>
      </c>
      <c r="Z47" s="54">
        <f t="shared" si="183"/>
        <v>0</v>
      </c>
      <c r="AA47" s="419">
        <f t="shared" si="184"/>
        <v>0</v>
      </c>
      <c r="AB47" s="261"/>
      <c r="AC47" s="440"/>
      <c r="AD47" s="260"/>
      <c r="AE47" s="265"/>
      <c r="AF47" s="265"/>
      <c r="AG47" s="265"/>
      <c r="AH47" s="265"/>
      <c r="AI47" s="265"/>
      <c r="AJ47" s="265"/>
      <c r="AK47" s="265"/>
      <c r="AL47" s="265"/>
      <c r="AM47" s="265"/>
      <c r="AN47" s="265"/>
      <c r="AO47" s="265"/>
      <c r="AP47" s="265"/>
      <c r="AQ47" s="265"/>
      <c r="AR47" s="278"/>
      <c r="AS47" s="675"/>
      <c r="AT47" s="43" t="s">
        <v>99</v>
      </c>
      <c r="AU47" s="203">
        <v>1</v>
      </c>
      <c r="AV47" s="49">
        <f t="shared" si="185"/>
        <v>25</v>
      </c>
      <c r="AW47" s="54">
        <f t="shared" si="186"/>
        <v>15</v>
      </c>
      <c r="AX47" s="427">
        <f t="shared" si="187"/>
        <v>15</v>
      </c>
      <c r="AY47" s="281">
        <v>5</v>
      </c>
      <c r="AZ47" s="280">
        <v>5</v>
      </c>
      <c r="BA47" s="281"/>
      <c r="BB47" s="281">
        <v>5</v>
      </c>
      <c r="BC47" s="281"/>
      <c r="BD47" s="281"/>
      <c r="BE47" s="281"/>
      <c r="BF47" s="281"/>
      <c r="BG47" s="281"/>
      <c r="BH47" s="281"/>
      <c r="BI47" s="281"/>
      <c r="BJ47" s="281"/>
      <c r="BK47" s="281"/>
      <c r="BL47" s="281">
        <v>5</v>
      </c>
      <c r="BM47" s="281"/>
      <c r="BN47" s="281"/>
      <c r="BO47" s="282"/>
      <c r="BP47" s="283">
        <v>10</v>
      </c>
      <c r="BQ47" s="141">
        <f t="shared" si="188"/>
        <v>25</v>
      </c>
      <c r="BR47" s="209" t="str">
        <f t="shared" si="189"/>
        <v>Wartość prawidłowa</v>
      </c>
      <c r="BS47" s="926">
        <f t="shared" si="53"/>
        <v>5</v>
      </c>
      <c r="BT47" s="118">
        <f t="shared" si="54"/>
        <v>5</v>
      </c>
      <c r="BU47" s="118">
        <f t="shared" si="55"/>
        <v>5</v>
      </c>
      <c r="BV47" s="118">
        <f t="shared" si="56"/>
        <v>0</v>
      </c>
      <c r="BW47" s="118">
        <f t="shared" si="57"/>
        <v>10</v>
      </c>
      <c r="BX47" s="209">
        <f t="shared" si="58"/>
        <v>0</v>
      </c>
      <c r="BY47" s="927">
        <f t="shared" si="59"/>
        <v>25</v>
      </c>
      <c r="BZ47" s="928">
        <f t="shared" si="60"/>
        <v>0.2</v>
      </c>
      <c r="CA47" s="929">
        <f t="shared" si="61"/>
        <v>0.2</v>
      </c>
      <c r="CB47" s="929">
        <f t="shared" si="62"/>
        <v>0.2</v>
      </c>
      <c r="CC47" s="929">
        <f t="shared" si="63"/>
        <v>0</v>
      </c>
      <c r="CD47" s="929">
        <f t="shared" si="64"/>
        <v>0.4</v>
      </c>
      <c r="CE47" s="949">
        <f t="shared" si="65"/>
        <v>0</v>
      </c>
      <c r="CF47" s="963">
        <f t="shared" si="66"/>
        <v>1</v>
      </c>
      <c r="CG47" s="957">
        <f t="shared" si="190"/>
        <v>10</v>
      </c>
      <c r="CH47" s="209">
        <f t="shared" si="191"/>
        <v>10</v>
      </c>
      <c r="CI47" s="930">
        <f t="shared" si="192"/>
        <v>0.4</v>
      </c>
      <c r="CJ47" s="998">
        <f t="shared" si="193"/>
        <v>0.4</v>
      </c>
      <c r="CK47" s="1000">
        <f>Matryca!Q47</f>
        <v>1</v>
      </c>
      <c r="CL47" s="1001">
        <f>Matryca!R47</f>
        <v>2</v>
      </c>
      <c r="CM47" s="1002">
        <f>Matryca!S47</f>
        <v>1</v>
      </c>
    </row>
    <row r="48" spans="1:91" s="44" customFormat="1" ht="30" customHeight="1" x14ac:dyDescent="0.25">
      <c r="A48" s="46">
        <v>28</v>
      </c>
      <c r="B48" s="47"/>
      <c r="C48" s="46" t="s">
        <v>107</v>
      </c>
      <c r="D48" s="46"/>
      <c r="E48" s="47">
        <v>2</v>
      </c>
      <c r="F48" s="46" t="s">
        <v>459</v>
      </c>
      <c r="G48" s="46" t="s">
        <v>59</v>
      </c>
      <c r="H48" s="33"/>
      <c r="I48" s="122" t="s">
        <v>448</v>
      </c>
      <c r="J48" s="118"/>
      <c r="K48" s="118"/>
      <c r="L48" s="1089" t="s">
        <v>417</v>
      </c>
      <c r="M48" s="193">
        <f t="shared" si="173"/>
        <v>100</v>
      </c>
      <c r="N48" s="35">
        <f t="shared" si="174"/>
        <v>35</v>
      </c>
      <c r="O48" s="36">
        <f t="shared" si="175"/>
        <v>65</v>
      </c>
      <c r="P48" s="421">
        <f t="shared" si="176"/>
        <v>65</v>
      </c>
      <c r="Q48" s="37">
        <f t="shared" si="177"/>
        <v>4</v>
      </c>
      <c r="R48" s="38">
        <f t="shared" si="178"/>
        <v>0</v>
      </c>
      <c r="S48" s="38">
        <f t="shared" si="179"/>
        <v>3.6923076923076925</v>
      </c>
      <c r="T48" s="60">
        <f t="shared" si="180"/>
        <v>0</v>
      </c>
      <c r="U48" s="40">
        <f t="shared" si="181"/>
        <v>2.6</v>
      </c>
      <c r="V48" s="201" t="s">
        <v>99</v>
      </c>
      <c r="W48" s="43" t="s">
        <v>99</v>
      </c>
      <c r="X48" s="154">
        <v>4</v>
      </c>
      <c r="Y48" s="41">
        <f t="shared" si="182"/>
        <v>100</v>
      </c>
      <c r="Z48" s="42">
        <f t="shared" si="183"/>
        <v>65</v>
      </c>
      <c r="AA48" s="422">
        <f t="shared" si="184"/>
        <v>65</v>
      </c>
      <c r="AB48" s="260"/>
      <c r="AC48" s="440"/>
      <c r="AD48" s="261">
        <v>5</v>
      </c>
      <c r="AE48" s="266">
        <v>60</v>
      </c>
      <c r="AF48" s="266"/>
      <c r="AG48" s="266"/>
      <c r="AH48" s="266"/>
      <c r="AI48" s="266"/>
      <c r="AJ48" s="266"/>
      <c r="AK48" s="266"/>
      <c r="AL48" s="266"/>
      <c r="AM48" s="266"/>
      <c r="AN48" s="266"/>
      <c r="AO48" s="266"/>
      <c r="AP48" s="266"/>
      <c r="AQ48" s="266"/>
      <c r="AR48" s="275"/>
      <c r="AS48" s="676">
        <v>35</v>
      </c>
      <c r="AT48" s="55"/>
      <c r="AU48" s="202"/>
      <c r="AV48" s="49">
        <f t="shared" si="185"/>
        <v>0</v>
      </c>
      <c r="AW48" s="54">
        <f t="shared" si="186"/>
        <v>0</v>
      </c>
      <c r="AX48" s="427">
        <f t="shared" si="187"/>
        <v>0</v>
      </c>
      <c r="AY48" s="265"/>
      <c r="AZ48" s="277"/>
      <c r="BA48" s="265"/>
      <c r="BB48" s="265"/>
      <c r="BC48" s="265"/>
      <c r="BD48" s="265"/>
      <c r="BE48" s="265"/>
      <c r="BF48" s="265"/>
      <c r="BG48" s="265"/>
      <c r="BH48" s="265"/>
      <c r="BI48" s="265"/>
      <c r="BJ48" s="265"/>
      <c r="BK48" s="265"/>
      <c r="BL48" s="265"/>
      <c r="BM48" s="265"/>
      <c r="BN48" s="265"/>
      <c r="BO48" s="278"/>
      <c r="BP48" s="279"/>
      <c r="BQ48" s="142">
        <f t="shared" si="188"/>
        <v>25</v>
      </c>
      <c r="BR48" s="209" t="str">
        <f t="shared" si="189"/>
        <v>Wartość prawidłowa</v>
      </c>
      <c r="BS48" s="926">
        <f t="shared" si="53"/>
        <v>65</v>
      </c>
      <c r="BT48" s="118">
        <f t="shared" si="54"/>
        <v>0</v>
      </c>
      <c r="BU48" s="118">
        <f t="shared" si="55"/>
        <v>0</v>
      </c>
      <c r="BV48" s="118">
        <f t="shared" si="56"/>
        <v>0</v>
      </c>
      <c r="BW48" s="118">
        <f t="shared" si="57"/>
        <v>35</v>
      </c>
      <c r="BX48" s="209">
        <f t="shared" si="58"/>
        <v>0</v>
      </c>
      <c r="BY48" s="927">
        <f t="shared" si="59"/>
        <v>100</v>
      </c>
      <c r="BZ48" s="928">
        <f t="shared" si="60"/>
        <v>2.6</v>
      </c>
      <c r="CA48" s="929">
        <f t="shared" si="61"/>
        <v>0</v>
      </c>
      <c r="CB48" s="929">
        <f t="shared" si="62"/>
        <v>0</v>
      </c>
      <c r="CC48" s="929">
        <f t="shared" si="63"/>
        <v>0</v>
      </c>
      <c r="CD48" s="929">
        <f t="shared" si="64"/>
        <v>1.4</v>
      </c>
      <c r="CE48" s="949">
        <f t="shared" si="65"/>
        <v>0</v>
      </c>
      <c r="CF48" s="963">
        <f t="shared" si="66"/>
        <v>4</v>
      </c>
      <c r="CG48" s="957">
        <f t="shared" si="190"/>
        <v>65</v>
      </c>
      <c r="CH48" s="209">
        <f t="shared" si="191"/>
        <v>0</v>
      </c>
      <c r="CI48" s="930">
        <f t="shared" si="192"/>
        <v>2.6</v>
      </c>
      <c r="CJ48" s="998">
        <f t="shared" si="193"/>
        <v>0</v>
      </c>
      <c r="CK48" s="1000">
        <f>Matryca!Q48</f>
        <v>1</v>
      </c>
      <c r="CL48" s="1001">
        <f>Matryca!R48</f>
        <v>2</v>
      </c>
      <c r="CM48" s="1002">
        <f>Matryca!S48</f>
        <v>2</v>
      </c>
    </row>
    <row r="49" spans="1:91" s="44" customFormat="1" ht="30" customHeight="1" x14ac:dyDescent="0.25">
      <c r="A49" s="46">
        <v>29</v>
      </c>
      <c r="B49" s="31"/>
      <c r="C49" s="32" t="s">
        <v>107</v>
      </c>
      <c r="D49" s="32"/>
      <c r="E49" s="31">
        <v>2</v>
      </c>
      <c r="F49" s="32" t="s">
        <v>459</v>
      </c>
      <c r="G49" s="46" t="s">
        <v>59</v>
      </c>
      <c r="H49" s="33"/>
      <c r="I49" s="621" t="s">
        <v>678</v>
      </c>
      <c r="J49" s="118"/>
      <c r="K49" s="118"/>
      <c r="L49" s="1089" t="s">
        <v>417</v>
      </c>
      <c r="M49" s="192">
        <f t="shared" si="173"/>
        <v>160</v>
      </c>
      <c r="N49" s="50">
        <f t="shared" si="174"/>
        <v>0</v>
      </c>
      <c r="O49" s="51">
        <f t="shared" si="175"/>
        <v>160</v>
      </c>
      <c r="P49" s="415">
        <f t="shared" si="176"/>
        <v>160</v>
      </c>
      <c r="Q49" s="52">
        <f t="shared" si="177"/>
        <v>6</v>
      </c>
      <c r="R49" s="38">
        <f t="shared" si="178"/>
        <v>0</v>
      </c>
      <c r="S49" s="38">
        <f t="shared" si="179"/>
        <v>6</v>
      </c>
      <c r="T49" s="39">
        <f t="shared" si="180"/>
        <v>0</v>
      </c>
      <c r="U49" s="40">
        <f t="shared" si="181"/>
        <v>6</v>
      </c>
      <c r="V49" s="201" t="s">
        <v>99</v>
      </c>
      <c r="W49" s="43" t="s">
        <v>99</v>
      </c>
      <c r="X49" s="155">
        <v>6</v>
      </c>
      <c r="Y49" s="53">
        <f t="shared" si="182"/>
        <v>160</v>
      </c>
      <c r="Z49" s="54">
        <f t="shared" si="183"/>
        <v>160</v>
      </c>
      <c r="AA49" s="419">
        <f t="shared" si="184"/>
        <v>160</v>
      </c>
      <c r="AB49" s="260"/>
      <c r="AC49" s="440"/>
      <c r="AD49" s="260"/>
      <c r="AE49" s="265"/>
      <c r="AF49" s="265"/>
      <c r="AG49" s="265"/>
      <c r="AH49" s="265"/>
      <c r="AI49" s="265"/>
      <c r="AJ49" s="265"/>
      <c r="AK49" s="265"/>
      <c r="AL49" s="265"/>
      <c r="AM49" s="265"/>
      <c r="AN49" s="265"/>
      <c r="AO49" s="265"/>
      <c r="AP49" s="265"/>
      <c r="AQ49" s="265">
        <v>160</v>
      </c>
      <c r="AR49" s="278"/>
      <c r="AS49" s="675"/>
      <c r="AT49" s="43"/>
      <c r="AU49" s="205"/>
      <c r="AV49" s="34">
        <f t="shared" si="185"/>
        <v>0</v>
      </c>
      <c r="AW49" s="42">
        <f t="shared" si="186"/>
        <v>0</v>
      </c>
      <c r="AX49" s="428">
        <f t="shared" si="187"/>
        <v>0</v>
      </c>
      <c r="AY49" s="266"/>
      <c r="AZ49" s="274"/>
      <c r="BA49" s="266"/>
      <c r="BB49" s="266"/>
      <c r="BC49" s="266"/>
      <c r="BD49" s="266"/>
      <c r="BE49" s="266"/>
      <c r="BF49" s="266"/>
      <c r="BG49" s="266"/>
      <c r="BH49" s="266"/>
      <c r="BI49" s="266"/>
      <c r="BJ49" s="266"/>
      <c r="BK49" s="266"/>
      <c r="BL49" s="266"/>
      <c r="BM49" s="266"/>
      <c r="BN49" s="266"/>
      <c r="BO49" s="275"/>
      <c r="BP49" s="276"/>
      <c r="BQ49" s="141">
        <f t="shared" si="188"/>
        <v>26.666666666666668</v>
      </c>
      <c r="BR49" s="211" t="str">
        <f t="shared" si="189"/>
        <v>Wartość prawidłowa</v>
      </c>
      <c r="BS49" s="926">
        <f t="shared" si="53"/>
        <v>0</v>
      </c>
      <c r="BT49" s="118">
        <f t="shared" si="54"/>
        <v>0</v>
      </c>
      <c r="BU49" s="118">
        <f t="shared" si="55"/>
        <v>0</v>
      </c>
      <c r="BV49" s="118">
        <f t="shared" si="56"/>
        <v>0</v>
      </c>
      <c r="BW49" s="118">
        <f t="shared" si="57"/>
        <v>0</v>
      </c>
      <c r="BX49" s="209">
        <f t="shared" si="58"/>
        <v>160</v>
      </c>
      <c r="BY49" s="927">
        <f t="shared" si="59"/>
        <v>160</v>
      </c>
      <c r="BZ49" s="928">
        <f t="shared" si="60"/>
        <v>0</v>
      </c>
      <c r="CA49" s="929">
        <f t="shared" si="61"/>
        <v>0</v>
      </c>
      <c r="CB49" s="929">
        <f t="shared" si="62"/>
        <v>0</v>
      </c>
      <c r="CC49" s="929">
        <f t="shared" si="63"/>
        <v>0</v>
      </c>
      <c r="CD49" s="929">
        <f t="shared" si="64"/>
        <v>0</v>
      </c>
      <c r="CE49" s="949">
        <f t="shared" si="65"/>
        <v>6</v>
      </c>
      <c r="CF49" s="963">
        <f t="shared" si="66"/>
        <v>6</v>
      </c>
      <c r="CG49" s="957">
        <f t="shared" si="190"/>
        <v>160</v>
      </c>
      <c r="CH49" s="209">
        <f t="shared" si="191"/>
        <v>0</v>
      </c>
      <c r="CI49" s="930">
        <f t="shared" si="192"/>
        <v>6</v>
      </c>
      <c r="CJ49" s="998">
        <f t="shared" si="193"/>
        <v>0</v>
      </c>
      <c r="CK49" s="1000">
        <f>Matryca!Q49</f>
        <v>0</v>
      </c>
      <c r="CL49" s="1001">
        <f>Matryca!R49</f>
        <v>4</v>
      </c>
      <c r="CM49" s="1002">
        <f>Matryca!S49</f>
        <v>2</v>
      </c>
    </row>
    <row r="50" spans="1:91" s="44" customFormat="1" ht="36.75" customHeight="1" x14ac:dyDescent="0.25">
      <c r="A50" s="46">
        <v>30</v>
      </c>
      <c r="B50" s="31"/>
      <c r="C50" s="32" t="s">
        <v>107</v>
      </c>
      <c r="D50" s="32"/>
      <c r="E50" s="31">
        <v>2</v>
      </c>
      <c r="F50" s="32" t="s">
        <v>459</v>
      </c>
      <c r="G50" s="46" t="s">
        <v>59</v>
      </c>
      <c r="H50" s="33"/>
      <c r="I50" s="1104" t="s">
        <v>938</v>
      </c>
      <c r="J50" s="118"/>
      <c r="K50" s="118"/>
      <c r="L50" s="1089" t="s">
        <v>417</v>
      </c>
      <c r="M50" s="192">
        <f t="shared" ref="M50:M51" si="209">Y50+AV50</f>
        <v>160</v>
      </c>
      <c r="N50" s="50">
        <f t="shared" ref="N50:N51" si="210">AS50+BP50</f>
        <v>0</v>
      </c>
      <c r="O50" s="51">
        <f t="shared" ref="O50:O51" si="211">Z50+AW50</f>
        <v>160</v>
      </c>
      <c r="P50" s="415">
        <f t="shared" ref="P50:P51" si="212">AA50+AX50</f>
        <v>160</v>
      </c>
      <c r="Q50" s="52">
        <f t="shared" ref="Q50:Q51" si="213">X50+AU50</f>
        <v>6</v>
      </c>
      <c r="R50" s="38">
        <f t="shared" ref="R50:R51" si="214">IFERROR((AL50+BI50)*Q50/O50," ")</f>
        <v>0</v>
      </c>
      <c r="S50" s="38">
        <f t="shared" si="179"/>
        <v>6</v>
      </c>
      <c r="T50" s="39">
        <f t="shared" ref="T50:T51" si="215">IFERROR((AC50+AO50+AZ50+BL50)*Q50/O50," ")</f>
        <v>0</v>
      </c>
      <c r="U50" s="40">
        <f t="shared" si="181"/>
        <v>6</v>
      </c>
      <c r="V50" s="201" t="s">
        <v>99</v>
      </c>
      <c r="W50" s="43"/>
      <c r="X50" s="155"/>
      <c r="Y50" s="53">
        <f t="shared" ref="Y50:Y51" si="216">AS50+Z50</f>
        <v>0</v>
      </c>
      <c r="Z50" s="54">
        <f t="shared" ref="Z50:Z51" si="217">AR50+AA50</f>
        <v>0</v>
      </c>
      <c r="AA50" s="419">
        <f t="shared" ref="AA50" si="218">(SUM(AB50:AQ50))-AC50</f>
        <v>0</v>
      </c>
      <c r="AB50" s="260"/>
      <c r="AC50" s="440"/>
      <c r="AD50" s="260"/>
      <c r="AE50" s="265"/>
      <c r="AF50" s="265"/>
      <c r="AG50" s="265"/>
      <c r="AH50" s="265"/>
      <c r="AI50" s="265"/>
      <c r="AJ50" s="265"/>
      <c r="AK50" s="265"/>
      <c r="AL50" s="265"/>
      <c r="AM50" s="265"/>
      <c r="AN50" s="265"/>
      <c r="AO50" s="265"/>
      <c r="AP50" s="265"/>
      <c r="AQ50" s="265"/>
      <c r="AR50" s="278"/>
      <c r="AS50" s="675"/>
      <c r="AT50" s="43" t="s">
        <v>99</v>
      </c>
      <c r="AU50" s="205">
        <v>6</v>
      </c>
      <c r="AV50" s="34">
        <f t="shared" ref="AV50:AV51" si="219">BP50+AW50</f>
        <v>160</v>
      </c>
      <c r="AW50" s="42">
        <f t="shared" ref="AW50:AW51" si="220">BO50+AX50</f>
        <v>160</v>
      </c>
      <c r="AX50" s="428">
        <f t="shared" ref="AX50" si="221">(SUM(AY50:BN50))-AZ50</f>
        <v>160</v>
      </c>
      <c r="AY50" s="266"/>
      <c r="AZ50" s="274"/>
      <c r="BA50" s="266"/>
      <c r="BB50" s="266"/>
      <c r="BC50" s="266"/>
      <c r="BD50" s="266"/>
      <c r="BE50" s="266"/>
      <c r="BF50" s="266"/>
      <c r="BG50" s="266"/>
      <c r="BH50" s="266"/>
      <c r="BI50" s="266"/>
      <c r="BJ50" s="266"/>
      <c r="BK50" s="266"/>
      <c r="BL50" s="266"/>
      <c r="BM50" s="266"/>
      <c r="BN50" s="266">
        <v>160</v>
      </c>
      <c r="BO50" s="275"/>
      <c r="BP50" s="276"/>
      <c r="BQ50" s="141">
        <f t="shared" ref="BQ50:BQ51" si="222">IFERROR(M50/Q50," ")</f>
        <v>26.666666666666668</v>
      </c>
      <c r="BR50" s="211" t="str">
        <f t="shared" ref="BR50:BR51" si="223">IF(OR(BQ50&gt;30,BQ50&lt;25),"1 ECTS powinien mieścić się przedziale 25-30h","Wartość prawidłowa")</f>
        <v>Wartość prawidłowa</v>
      </c>
      <c r="BS50" s="926">
        <f t="shared" si="53"/>
        <v>0</v>
      </c>
      <c r="BT50" s="118">
        <f t="shared" si="54"/>
        <v>0</v>
      </c>
      <c r="BU50" s="118">
        <f t="shared" si="55"/>
        <v>0</v>
      </c>
      <c r="BV50" s="118">
        <f t="shared" si="56"/>
        <v>0</v>
      </c>
      <c r="BW50" s="118">
        <f t="shared" si="57"/>
        <v>0</v>
      </c>
      <c r="BX50" s="209">
        <f t="shared" si="58"/>
        <v>160</v>
      </c>
      <c r="BY50" s="927">
        <f t="shared" si="59"/>
        <v>160</v>
      </c>
      <c r="BZ50" s="928">
        <f t="shared" si="60"/>
        <v>0</v>
      </c>
      <c r="CA50" s="929">
        <f t="shared" si="61"/>
        <v>0</v>
      </c>
      <c r="CB50" s="929">
        <f t="shared" si="62"/>
        <v>0</v>
      </c>
      <c r="CC50" s="929">
        <f t="shared" si="63"/>
        <v>0</v>
      </c>
      <c r="CD50" s="929">
        <f t="shared" si="64"/>
        <v>0</v>
      </c>
      <c r="CE50" s="949">
        <f t="shared" si="65"/>
        <v>6</v>
      </c>
      <c r="CF50" s="963">
        <f t="shared" si="66"/>
        <v>6</v>
      </c>
      <c r="CG50" s="957">
        <f t="shared" si="190"/>
        <v>160</v>
      </c>
      <c r="CH50" s="209">
        <f t="shared" si="191"/>
        <v>0</v>
      </c>
      <c r="CI50" s="930">
        <f t="shared" si="192"/>
        <v>6</v>
      </c>
      <c r="CJ50" s="998">
        <f t="shared" si="193"/>
        <v>0</v>
      </c>
      <c r="CK50" s="1000">
        <f>Matryca!Q50</f>
        <v>0</v>
      </c>
      <c r="CL50" s="1001">
        <f>Matryca!R50</f>
        <v>5</v>
      </c>
      <c r="CM50" s="1002">
        <f>Matryca!S50</f>
        <v>2</v>
      </c>
    </row>
    <row r="51" spans="1:91" s="44" customFormat="1" ht="47.25" x14ac:dyDescent="0.25">
      <c r="A51" s="46">
        <v>31</v>
      </c>
      <c r="B51" s="47"/>
      <c r="C51" s="46" t="s">
        <v>107</v>
      </c>
      <c r="D51" s="46"/>
      <c r="E51" s="47">
        <v>2</v>
      </c>
      <c r="F51" s="32" t="s">
        <v>459</v>
      </c>
      <c r="G51" s="46" t="s">
        <v>60</v>
      </c>
      <c r="H51" s="118"/>
      <c r="I51" s="876" t="s">
        <v>953</v>
      </c>
      <c r="J51" s="118"/>
      <c r="K51" s="118"/>
      <c r="L51" s="1089" t="s">
        <v>418</v>
      </c>
      <c r="M51" s="192">
        <f t="shared" si="209"/>
        <v>50</v>
      </c>
      <c r="N51" s="50">
        <f t="shared" si="210"/>
        <v>10</v>
      </c>
      <c r="O51" s="54">
        <f t="shared" si="211"/>
        <v>40</v>
      </c>
      <c r="P51" s="424">
        <f t="shared" si="212"/>
        <v>40</v>
      </c>
      <c r="Q51" s="52">
        <f t="shared" si="213"/>
        <v>2</v>
      </c>
      <c r="R51" s="76">
        <f t="shared" si="214"/>
        <v>0</v>
      </c>
      <c r="S51" s="76">
        <f t="shared" ref="S51" si="224">IFERROR(IF(L51="tak",(SUM(AE51:AL51,AQ51,BB51:BI51,BN51))*Q51/O51,0),0)</f>
        <v>0</v>
      </c>
      <c r="T51" s="39">
        <f t="shared" si="215"/>
        <v>0</v>
      </c>
      <c r="U51" s="187">
        <f t="shared" ref="U51" si="225">IFERROR((SUM(AB51,AD51:AN51,AY51,BA51:BK51,AP51:AQ51,BM51:BN51)*Q51/M51)," ")</f>
        <v>1.6</v>
      </c>
      <c r="V51" s="201" t="s">
        <v>99</v>
      </c>
      <c r="W51" s="55" t="s">
        <v>99</v>
      </c>
      <c r="X51" s="155">
        <v>2</v>
      </c>
      <c r="Y51" s="53">
        <f t="shared" si="216"/>
        <v>50</v>
      </c>
      <c r="Z51" s="54">
        <f t="shared" si="217"/>
        <v>40</v>
      </c>
      <c r="AA51" s="419">
        <f t="shared" ref="AA51" si="226">(SUM(AB51:AQ51))-AC51</f>
        <v>40</v>
      </c>
      <c r="AB51" s="674"/>
      <c r="AC51" s="440"/>
      <c r="AD51" s="260"/>
      <c r="AE51" s="265">
        <v>40</v>
      </c>
      <c r="AF51" s="265"/>
      <c r="AG51" s="265"/>
      <c r="AH51" s="265"/>
      <c r="AI51" s="265"/>
      <c r="AJ51" s="265"/>
      <c r="AK51" s="265"/>
      <c r="AL51" s="265"/>
      <c r="AM51" s="265"/>
      <c r="AN51" s="265"/>
      <c r="AO51" s="265"/>
      <c r="AP51" s="265"/>
      <c r="AQ51" s="265"/>
      <c r="AR51" s="278"/>
      <c r="AS51" s="675">
        <v>10</v>
      </c>
      <c r="AT51" s="55"/>
      <c r="AU51" s="155"/>
      <c r="AV51" s="49">
        <f t="shared" si="219"/>
        <v>0</v>
      </c>
      <c r="AW51" s="54">
        <f t="shared" si="220"/>
        <v>0</v>
      </c>
      <c r="AX51" s="424">
        <f t="shared" ref="AX51" si="227">(SUM(AY51:BN51))-AZ51</f>
        <v>0</v>
      </c>
      <c r="AY51" s="265"/>
      <c r="AZ51" s="286"/>
      <c r="BA51" s="265"/>
      <c r="BB51" s="265"/>
      <c r="BC51" s="265"/>
      <c r="BD51" s="265"/>
      <c r="BE51" s="265"/>
      <c r="BF51" s="265"/>
      <c r="BG51" s="265"/>
      <c r="BH51" s="265"/>
      <c r="BI51" s="265"/>
      <c r="BJ51" s="265"/>
      <c r="BK51" s="265"/>
      <c r="BL51" s="265"/>
      <c r="BM51" s="265"/>
      <c r="BN51" s="265"/>
      <c r="BO51" s="278"/>
      <c r="BP51" s="279"/>
      <c r="BQ51" s="142">
        <f t="shared" si="222"/>
        <v>25</v>
      </c>
      <c r="BR51" s="209" t="str">
        <f t="shared" si="223"/>
        <v>Wartość prawidłowa</v>
      </c>
      <c r="BS51" s="926">
        <f t="shared" ref="BS51" si="228">SUM(AB51,AD51:AP51,AY51,BA51:BM51)-AC51-AZ51-AO51-BL51</f>
        <v>40</v>
      </c>
      <c r="BT51" s="118">
        <f t="shared" ref="BT51" si="229">AC51+AZ51</f>
        <v>0</v>
      </c>
      <c r="BU51" s="118">
        <f t="shared" ref="BU51" si="230">AO51+BL51</f>
        <v>0</v>
      </c>
      <c r="BV51" s="118">
        <f t="shared" ref="BV51" si="231">AR51+BO51</f>
        <v>0</v>
      </c>
      <c r="BW51" s="118">
        <f t="shared" ref="BW51" si="232">N51</f>
        <v>10</v>
      </c>
      <c r="BX51" s="209">
        <f t="shared" ref="BX51" si="233">AQ51+BN51</f>
        <v>0</v>
      </c>
      <c r="BY51" s="927">
        <f t="shared" ref="BY51" si="234">SUM(BS51:BX51)</f>
        <v>50</v>
      </c>
      <c r="BZ51" s="928">
        <f t="shared" ref="BZ51" si="235">IFERROR((BS51*Q51)/BY51," ")</f>
        <v>1.6</v>
      </c>
      <c r="CA51" s="929">
        <f t="shared" ref="CA51" si="236">IFERROR((BT51*Q51)/BY51," ")</f>
        <v>0</v>
      </c>
      <c r="CB51" s="929">
        <f t="shared" ref="CB51" si="237">IFERROR((BU51*Q51)/BY51," ")</f>
        <v>0</v>
      </c>
      <c r="CC51" s="929">
        <f t="shared" ref="CC51" si="238">IFERROR((BV51*Q51)/BY51," ")</f>
        <v>0</v>
      </c>
      <c r="CD51" s="929">
        <f t="shared" ref="CD51" si="239">IFERROR((BW51*Q51)/BY51," ")</f>
        <v>0.4</v>
      </c>
      <c r="CE51" s="949">
        <f t="shared" ref="CE51" si="240">IFERROR((BX51*Q51)/BY51," ")</f>
        <v>0</v>
      </c>
      <c r="CF51" s="963">
        <f t="shared" ref="CF51" si="241">IFERROR((SUM(BZ51:CE51))," ")</f>
        <v>2</v>
      </c>
      <c r="CG51" s="957">
        <f t="shared" ref="CG51" si="242">SUM(BS51:BT51,BX51)</f>
        <v>40</v>
      </c>
      <c r="CH51" s="209">
        <f t="shared" ref="CH51" si="243">SUM(BT51:BU51)</f>
        <v>0</v>
      </c>
      <c r="CI51" s="930">
        <f t="shared" ref="CI51" si="244">SUM(BZ51:CA51,CE51)</f>
        <v>1.6</v>
      </c>
      <c r="CJ51" s="998">
        <f t="shared" ref="CJ51" si="245">SUM(CA51:CB51)</f>
        <v>0</v>
      </c>
      <c r="CK51" s="1000">
        <f>Matryca!Q51</f>
        <v>0</v>
      </c>
      <c r="CL51" s="1001">
        <f>Matryca!R51</f>
        <v>0</v>
      </c>
      <c r="CM51" s="1002">
        <f>Matryca!S51</f>
        <v>0</v>
      </c>
    </row>
    <row r="52" spans="1:91" s="44" customFormat="1" ht="69.75" customHeight="1" x14ac:dyDescent="0.25">
      <c r="A52" s="46">
        <v>32</v>
      </c>
      <c r="B52" s="31"/>
      <c r="C52" s="46" t="s">
        <v>107</v>
      </c>
      <c r="D52" s="46"/>
      <c r="E52" s="47">
        <v>2</v>
      </c>
      <c r="F52" s="32" t="s">
        <v>459</v>
      </c>
      <c r="G52" s="46" t="s">
        <v>60</v>
      </c>
      <c r="H52" s="33"/>
      <c r="I52" s="876" t="s">
        <v>705</v>
      </c>
      <c r="J52" s="118"/>
      <c r="K52" s="118"/>
      <c r="L52" s="1089" t="s">
        <v>418</v>
      </c>
      <c r="M52" s="192">
        <f t="shared" si="173"/>
        <v>50</v>
      </c>
      <c r="N52" s="50">
        <f t="shared" si="174"/>
        <v>10</v>
      </c>
      <c r="O52" s="51">
        <f t="shared" si="175"/>
        <v>40</v>
      </c>
      <c r="P52" s="415">
        <f t="shared" si="176"/>
        <v>40</v>
      </c>
      <c r="Q52" s="52">
        <f t="shared" si="177"/>
        <v>2</v>
      </c>
      <c r="R52" s="38">
        <f t="shared" si="178"/>
        <v>0</v>
      </c>
      <c r="S52" s="38">
        <f t="shared" si="179"/>
        <v>0</v>
      </c>
      <c r="T52" s="39">
        <f t="shared" si="180"/>
        <v>0.75</v>
      </c>
      <c r="U52" s="40">
        <f t="shared" si="181"/>
        <v>1.6</v>
      </c>
      <c r="V52" s="201" t="s">
        <v>99</v>
      </c>
      <c r="W52" s="43"/>
      <c r="X52" s="155"/>
      <c r="Y52" s="53">
        <f t="shared" si="182"/>
        <v>0</v>
      </c>
      <c r="Z52" s="54">
        <f t="shared" si="183"/>
        <v>0</v>
      </c>
      <c r="AA52" s="419">
        <f t="shared" si="184"/>
        <v>0</v>
      </c>
      <c r="AB52" s="265"/>
      <c r="AC52" s="440"/>
      <c r="AD52" s="260"/>
      <c r="AE52" s="265"/>
      <c r="AF52" s="265"/>
      <c r="AG52" s="265"/>
      <c r="AH52" s="265"/>
      <c r="AI52" s="265"/>
      <c r="AJ52" s="265"/>
      <c r="AK52" s="265"/>
      <c r="AL52" s="265"/>
      <c r="AM52" s="265"/>
      <c r="AN52" s="265"/>
      <c r="AO52" s="265"/>
      <c r="AP52" s="265"/>
      <c r="AQ52" s="265"/>
      <c r="AR52" s="278"/>
      <c r="AS52" s="675"/>
      <c r="AT52" s="43" t="s">
        <v>99</v>
      </c>
      <c r="AU52" s="202">
        <v>2</v>
      </c>
      <c r="AV52" s="49">
        <f t="shared" si="185"/>
        <v>50</v>
      </c>
      <c r="AW52" s="54">
        <f t="shared" si="186"/>
        <v>40</v>
      </c>
      <c r="AX52" s="424">
        <f t="shared" si="187"/>
        <v>40</v>
      </c>
      <c r="AY52" s="260">
        <v>15</v>
      </c>
      <c r="AZ52" s="277">
        <v>15</v>
      </c>
      <c r="BA52" s="265"/>
      <c r="BB52" s="265">
        <v>25</v>
      </c>
      <c r="BC52" s="265"/>
      <c r="BD52" s="265"/>
      <c r="BE52" s="265"/>
      <c r="BF52" s="265"/>
      <c r="BG52" s="265"/>
      <c r="BH52" s="265"/>
      <c r="BI52" s="265"/>
      <c r="BJ52" s="265"/>
      <c r="BK52" s="265"/>
      <c r="BL52" s="265"/>
      <c r="BM52" s="265"/>
      <c r="BN52" s="265"/>
      <c r="BO52" s="278"/>
      <c r="BP52" s="279">
        <v>10</v>
      </c>
      <c r="BQ52" s="141">
        <f t="shared" si="188"/>
        <v>25</v>
      </c>
      <c r="BR52" s="209" t="str">
        <f t="shared" si="189"/>
        <v>Wartość prawidłowa</v>
      </c>
      <c r="BS52" s="926">
        <f t="shared" si="53"/>
        <v>25</v>
      </c>
      <c r="BT52" s="118">
        <f t="shared" si="54"/>
        <v>15</v>
      </c>
      <c r="BU52" s="118">
        <f t="shared" si="55"/>
        <v>0</v>
      </c>
      <c r="BV52" s="118">
        <f t="shared" si="56"/>
        <v>0</v>
      </c>
      <c r="BW52" s="118">
        <f t="shared" si="57"/>
        <v>10</v>
      </c>
      <c r="BX52" s="209">
        <f t="shared" si="58"/>
        <v>0</v>
      </c>
      <c r="BY52" s="927">
        <f t="shared" si="59"/>
        <v>50</v>
      </c>
      <c r="BZ52" s="928">
        <f t="shared" si="60"/>
        <v>1</v>
      </c>
      <c r="CA52" s="929">
        <f t="shared" si="61"/>
        <v>0.6</v>
      </c>
      <c r="CB52" s="929">
        <f t="shared" si="62"/>
        <v>0</v>
      </c>
      <c r="CC52" s="929">
        <f t="shared" si="63"/>
        <v>0</v>
      </c>
      <c r="CD52" s="929">
        <f t="shared" si="64"/>
        <v>0.4</v>
      </c>
      <c r="CE52" s="949">
        <f t="shared" si="65"/>
        <v>0</v>
      </c>
      <c r="CF52" s="963">
        <f t="shared" si="66"/>
        <v>2</v>
      </c>
      <c r="CG52" s="957">
        <f t="shared" si="190"/>
        <v>40</v>
      </c>
      <c r="CH52" s="209">
        <f t="shared" si="191"/>
        <v>15</v>
      </c>
      <c r="CI52" s="930">
        <f t="shared" si="192"/>
        <v>1.6</v>
      </c>
      <c r="CJ52" s="998">
        <f t="shared" si="193"/>
        <v>0.6</v>
      </c>
      <c r="CK52" s="1000">
        <f>Matryca!Q52</f>
        <v>0</v>
      </c>
      <c r="CL52" s="1001">
        <f>Matryca!R52</f>
        <v>0</v>
      </c>
      <c r="CM52" s="1002">
        <f>Matryca!S52</f>
        <v>0</v>
      </c>
    </row>
    <row r="53" spans="1:91" s="44" customFormat="1" ht="30" customHeight="1" x14ac:dyDescent="0.25">
      <c r="A53" s="46">
        <v>33</v>
      </c>
      <c r="B53" s="31"/>
      <c r="C53" s="32" t="s">
        <v>107</v>
      </c>
      <c r="D53" s="32"/>
      <c r="E53" s="47">
        <v>2</v>
      </c>
      <c r="F53" s="32" t="s">
        <v>459</v>
      </c>
      <c r="G53" s="32" t="s">
        <v>59</v>
      </c>
      <c r="H53" s="33"/>
      <c r="I53" s="194" t="s">
        <v>581</v>
      </c>
      <c r="J53" s="118"/>
      <c r="K53" s="118"/>
      <c r="L53" s="1089" t="s">
        <v>418</v>
      </c>
      <c r="M53" s="192">
        <f t="shared" si="173"/>
        <v>75</v>
      </c>
      <c r="N53" s="50">
        <f t="shared" si="174"/>
        <v>15</v>
      </c>
      <c r="O53" s="51">
        <f t="shared" si="175"/>
        <v>60</v>
      </c>
      <c r="P53" s="415">
        <f t="shared" si="176"/>
        <v>60</v>
      </c>
      <c r="Q53" s="52">
        <f t="shared" si="177"/>
        <v>3</v>
      </c>
      <c r="R53" s="38">
        <f t="shared" si="178"/>
        <v>0</v>
      </c>
      <c r="S53" s="38">
        <f t="shared" si="179"/>
        <v>0</v>
      </c>
      <c r="T53" s="39">
        <f t="shared" si="180"/>
        <v>1.5</v>
      </c>
      <c r="U53" s="40">
        <f t="shared" si="181"/>
        <v>2.4</v>
      </c>
      <c r="V53" s="201" t="s">
        <v>99</v>
      </c>
      <c r="W53" s="43" t="s">
        <v>99</v>
      </c>
      <c r="X53" s="155">
        <v>3</v>
      </c>
      <c r="Y53" s="53">
        <f t="shared" si="182"/>
        <v>75</v>
      </c>
      <c r="Z53" s="54">
        <f t="shared" si="183"/>
        <v>60</v>
      </c>
      <c r="AA53" s="419">
        <f t="shared" si="184"/>
        <v>60</v>
      </c>
      <c r="AB53" s="260">
        <v>30</v>
      </c>
      <c r="AC53" s="440">
        <v>30</v>
      </c>
      <c r="AD53" s="260"/>
      <c r="AE53" s="886">
        <v>30</v>
      </c>
      <c r="AG53" s="265"/>
      <c r="AH53" s="265"/>
      <c r="AI53" s="265"/>
      <c r="AJ53" s="265"/>
      <c r="AK53" s="265"/>
      <c r="AL53" s="265"/>
      <c r="AM53" s="265"/>
      <c r="AN53" s="265"/>
      <c r="AO53" s="265"/>
      <c r="AP53" s="265"/>
      <c r="AQ53" s="265"/>
      <c r="AR53" s="278"/>
      <c r="AS53" s="675">
        <v>15</v>
      </c>
      <c r="AT53" s="43"/>
      <c r="AU53" s="205"/>
      <c r="AV53" s="49">
        <f t="shared" si="185"/>
        <v>0</v>
      </c>
      <c r="AW53" s="54">
        <f t="shared" si="186"/>
        <v>0</v>
      </c>
      <c r="AX53" s="424">
        <f t="shared" si="187"/>
        <v>0</v>
      </c>
      <c r="AY53" s="261"/>
      <c r="AZ53" s="274"/>
      <c r="BA53" s="266"/>
      <c r="BB53" s="266"/>
      <c r="BC53" s="266"/>
      <c r="BD53" s="266"/>
      <c r="BE53" s="266"/>
      <c r="BF53" s="266"/>
      <c r="BG53" s="266"/>
      <c r="BH53" s="266"/>
      <c r="BI53" s="266"/>
      <c r="BJ53" s="266"/>
      <c r="BK53" s="266"/>
      <c r="BL53" s="266"/>
      <c r="BM53" s="266"/>
      <c r="BN53" s="266"/>
      <c r="BO53" s="275"/>
      <c r="BP53" s="276"/>
      <c r="BQ53" s="141">
        <f t="shared" si="188"/>
        <v>25</v>
      </c>
      <c r="BR53" s="209" t="str">
        <f t="shared" si="189"/>
        <v>Wartość prawidłowa</v>
      </c>
      <c r="BS53" s="926">
        <f t="shared" si="53"/>
        <v>30</v>
      </c>
      <c r="BT53" s="118">
        <f t="shared" si="54"/>
        <v>30</v>
      </c>
      <c r="BU53" s="118">
        <f t="shared" si="55"/>
        <v>0</v>
      </c>
      <c r="BV53" s="118">
        <f t="shared" si="56"/>
        <v>0</v>
      </c>
      <c r="BW53" s="118">
        <f t="shared" si="57"/>
        <v>15</v>
      </c>
      <c r="BX53" s="209">
        <f t="shared" si="58"/>
        <v>0</v>
      </c>
      <c r="BY53" s="927">
        <f t="shared" si="59"/>
        <v>75</v>
      </c>
      <c r="BZ53" s="928">
        <f t="shared" si="60"/>
        <v>1.2</v>
      </c>
      <c r="CA53" s="929">
        <f t="shared" si="61"/>
        <v>1.2</v>
      </c>
      <c r="CB53" s="929">
        <f t="shared" si="62"/>
        <v>0</v>
      </c>
      <c r="CC53" s="929">
        <f t="shared" si="63"/>
        <v>0</v>
      </c>
      <c r="CD53" s="929">
        <f t="shared" si="64"/>
        <v>0.6</v>
      </c>
      <c r="CE53" s="949">
        <f t="shared" si="65"/>
        <v>0</v>
      </c>
      <c r="CF53" s="963">
        <f t="shared" si="66"/>
        <v>3</v>
      </c>
      <c r="CG53" s="957">
        <f t="shared" si="190"/>
        <v>60</v>
      </c>
      <c r="CH53" s="209">
        <f t="shared" si="191"/>
        <v>30</v>
      </c>
      <c r="CI53" s="930">
        <f t="shared" si="192"/>
        <v>2.4</v>
      </c>
      <c r="CJ53" s="998">
        <f t="shared" si="193"/>
        <v>1.2</v>
      </c>
      <c r="CK53" s="1000">
        <f>Matryca!Q53</f>
        <v>1</v>
      </c>
      <c r="CL53" s="1001">
        <f>Matryca!R53</f>
        <v>1</v>
      </c>
      <c r="CM53" s="1002">
        <f>Matryca!S53</f>
        <v>1</v>
      </c>
    </row>
    <row r="54" spans="1:91" s="44" customFormat="1" ht="30" customHeight="1" x14ac:dyDescent="0.25">
      <c r="A54" s="46">
        <v>34</v>
      </c>
      <c r="B54" s="31"/>
      <c r="C54" s="46" t="s">
        <v>107</v>
      </c>
      <c r="D54" s="46"/>
      <c r="E54" s="47">
        <v>2</v>
      </c>
      <c r="F54" s="32" t="s">
        <v>459</v>
      </c>
      <c r="G54" s="32" t="s">
        <v>59</v>
      </c>
      <c r="H54" s="33"/>
      <c r="I54" s="507" t="s">
        <v>582</v>
      </c>
      <c r="J54" s="118"/>
      <c r="K54" s="118"/>
      <c r="L54" s="1089" t="s">
        <v>418</v>
      </c>
      <c r="M54" s="192">
        <f t="shared" si="173"/>
        <v>75</v>
      </c>
      <c r="N54" s="50">
        <f t="shared" si="174"/>
        <v>15</v>
      </c>
      <c r="O54" s="51">
        <f t="shared" si="175"/>
        <v>60</v>
      </c>
      <c r="P54" s="415">
        <f t="shared" si="176"/>
        <v>60</v>
      </c>
      <c r="Q54" s="52">
        <f t="shared" si="177"/>
        <v>3</v>
      </c>
      <c r="R54" s="38">
        <f t="shared" si="178"/>
        <v>0</v>
      </c>
      <c r="S54" s="38">
        <f t="shared" si="179"/>
        <v>0</v>
      </c>
      <c r="T54" s="39">
        <f t="shared" si="180"/>
        <v>1.5</v>
      </c>
      <c r="U54" s="40">
        <f t="shared" si="181"/>
        <v>2.4</v>
      </c>
      <c r="V54" s="201" t="s">
        <v>56</v>
      </c>
      <c r="W54" s="43"/>
      <c r="X54" s="155"/>
      <c r="Y54" s="53">
        <f t="shared" si="182"/>
        <v>0</v>
      </c>
      <c r="Z54" s="54">
        <f t="shared" si="183"/>
        <v>0</v>
      </c>
      <c r="AA54" s="419">
        <f t="shared" si="184"/>
        <v>0</v>
      </c>
      <c r="AB54" s="260"/>
      <c r="AC54" s="440"/>
      <c r="AD54" s="260"/>
      <c r="AE54" s="265"/>
      <c r="AF54" s="265"/>
      <c r="AG54" s="265"/>
      <c r="AH54" s="265"/>
      <c r="AI54" s="265"/>
      <c r="AJ54" s="265"/>
      <c r="AK54" s="265"/>
      <c r="AL54" s="265"/>
      <c r="AM54" s="265"/>
      <c r="AN54" s="265"/>
      <c r="AO54" s="265"/>
      <c r="AP54" s="265"/>
      <c r="AQ54" s="265"/>
      <c r="AR54" s="278"/>
      <c r="AS54" s="675"/>
      <c r="AT54" s="43" t="s">
        <v>99</v>
      </c>
      <c r="AU54" s="202">
        <v>3</v>
      </c>
      <c r="AV54" s="49">
        <f t="shared" si="185"/>
        <v>75</v>
      </c>
      <c r="AW54" s="54">
        <f t="shared" si="186"/>
        <v>60</v>
      </c>
      <c r="AX54" s="424">
        <f t="shared" si="187"/>
        <v>60</v>
      </c>
      <c r="AY54" s="260">
        <v>30</v>
      </c>
      <c r="AZ54" s="277">
        <v>30</v>
      </c>
      <c r="BA54" s="265"/>
      <c r="BB54" s="886">
        <v>30</v>
      </c>
      <c r="BC54" s="46"/>
      <c r="BD54" s="265"/>
      <c r="BE54" s="265"/>
      <c r="BF54" s="265"/>
      <c r="BG54" s="265"/>
      <c r="BH54" s="265"/>
      <c r="BI54" s="265"/>
      <c r="BJ54" s="265"/>
      <c r="BK54" s="265"/>
      <c r="BL54" s="265"/>
      <c r="BM54" s="265"/>
      <c r="BN54" s="265"/>
      <c r="BO54" s="278"/>
      <c r="BP54" s="279">
        <v>15</v>
      </c>
      <c r="BQ54" s="141">
        <f t="shared" si="188"/>
        <v>25</v>
      </c>
      <c r="BR54" s="209" t="str">
        <f t="shared" si="189"/>
        <v>Wartość prawidłowa</v>
      </c>
      <c r="BS54" s="926">
        <f t="shared" si="53"/>
        <v>30</v>
      </c>
      <c r="BT54" s="118">
        <f t="shared" si="54"/>
        <v>30</v>
      </c>
      <c r="BU54" s="118">
        <f t="shared" si="55"/>
        <v>0</v>
      </c>
      <c r="BV54" s="118">
        <f t="shared" si="56"/>
        <v>0</v>
      </c>
      <c r="BW54" s="118">
        <f t="shared" si="57"/>
        <v>15</v>
      </c>
      <c r="BX54" s="209">
        <f t="shared" si="58"/>
        <v>0</v>
      </c>
      <c r="BY54" s="927">
        <f t="shared" si="59"/>
        <v>75</v>
      </c>
      <c r="BZ54" s="928">
        <f t="shared" si="60"/>
        <v>1.2</v>
      </c>
      <c r="CA54" s="929">
        <f t="shared" si="61"/>
        <v>1.2</v>
      </c>
      <c r="CB54" s="929">
        <f t="shared" si="62"/>
        <v>0</v>
      </c>
      <c r="CC54" s="929">
        <f t="shared" si="63"/>
        <v>0</v>
      </c>
      <c r="CD54" s="929">
        <f t="shared" si="64"/>
        <v>0.6</v>
      </c>
      <c r="CE54" s="949">
        <f t="shared" si="65"/>
        <v>0</v>
      </c>
      <c r="CF54" s="963">
        <f t="shared" si="66"/>
        <v>3</v>
      </c>
      <c r="CG54" s="957">
        <f t="shared" si="190"/>
        <v>60</v>
      </c>
      <c r="CH54" s="209">
        <f t="shared" si="191"/>
        <v>30</v>
      </c>
      <c r="CI54" s="930">
        <f t="shared" si="192"/>
        <v>2.4</v>
      </c>
      <c r="CJ54" s="998">
        <f t="shared" si="193"/>
        <v>1.2</v>
      </c>
      <c r="CK54" s="1000">
        <f>Matryca!Q54</f>
        <v>2</v>
      </c>
      <c r="CL54" s="1001">
        <f>Matryca!R54</f>
        <v>2</v>
      </c>
      <c r="CM54" s="1002">
        <f>Matryca!S54</f>
        <v>1</v>
      </c>
    </row>
    <row r="55" spans="1:91" s="44" customFormat="1" ht="30" customHeight="1" x14ac:dyDescent="0.25">
      <c r="A55" s="46">
        <v>35</v>
      </c>
      <c r="B55" s="31"/>
      <c r="C55" s="46" t="s">
        <v>107</v>
      </c>
      <c r="D55" s="46"/>
      <c r="E55" s="47">
        <v>2</v>
      </c>
      <c r="F55" s="32" t="s">
        <v>459</v>
      </c>
      <c r="G55" s="32" t="s">
        <v>59</v>
      </c>
      <c r="H55" s="33"/>
      <c r="I55" s="118" t="s">
        <v>456</v>
      </c>
      <c r="J55" s="118"/>
      <c r="K55" s="118"/>
      <c r="L55" s="1089" t="s">
        <v>418</v>
      </c>
      <c r="M55" s="192">
        <f t="shared" si="173"/>
        <v>125</v>
      </c>
      <c r="N55" s="50">
        <f t="shared" si="174"/>
        <v>55</v>
      </c>
      <c r="O55" s="51">
        <f t="shared" si="175"/>
        <v>70</v>
      </c>
      <c r="P55" s="415">
        <f t="shared" si="176"/>
        <v>70</v>
      </c>
      <c r="Q55" s="52">
        <f t="shared" si="177"/>
        <v>5</v>
      </c>
      <c r="R55" s="38">
        <f t="shared" si="178"/>
        <v>0</v>
      </c>
      <c r="S55" s="38">
        <f t="shared" si="179"/>
        <v>0</v>
      </c>
      <c r="T55" s="39">
        <f t="shared" si="180"/>
        <v>2.1428571428571428</v>
      </c>
      <c r="U55" s="40">
        <f t="shared" si="181"/>
        <v>2.8</v>
      </c>
      <c r="V55" s="201" t="s">
        <v>56</v>
      </c>
      <c r="W55" s="43"/>
      <c r="X55" s="155"/>
      <c r="Y55" s="53">
        <f t="shared" si="182"/>
        <v>0</v>
      </c>
      <c r="Z55" s="54">
        <f t="shared" si="183"/>
        <v>0</v>
      </c>
      <c r="AA55" s="419">
        <f t="shared" si="184"/>
        <v>0</v>
      </c>
      <c r="AB55" s="260"/>
      <c r="AC55" s="440"/>
      <c r="AD55" s="260"/>
      <c r="AE55" s="265"/>
      <c r="AF55" s="265"/>
      <c r="AG55" s="265"/>
      <c r="AH55" s="265"/>
      <c r="AI55" s="265"/>
      <c r="AJ55" s="265"/>
      <c r="AK55" s="265"/>
      <c r="AL55" s="265"/>
      <c r="AM55" s="265"/>
      <c r="AN55" s="265"/>
      <c r="AO55" s="265"/>
      <c r="AP55" s="265"/>
      <c r="AQ55" s="265"/>
      <c r="AR55" s="278"/>
      <c r="AS55" s="675"/>
      <c r="AT55" s="43" t="s">
        <v>99</v>
      </c>
      <c r="AU55" s="202">
        <v>5</v>
      </c>
      <c r="AV55" s="49">
        <f t="shared" si="185"/>
        <v>125</v>
      </c>
      <c r="AW55" s="54">
        <f t="shared" si="186"/>
        <v>70</v>
      </c>
      <c r="AX55" s="424">
        <f t="shared" si="187"/>
        <v>70</v>
      </c>
      <c r="AY55" s="260">
        <v>30</v>
      </c>
      <c r="AZ55" s="277">
        <v>30</v>
      </c>
      <c r="BA55" s="265"/>
      <c r="BB55" s="886">
        <v>40</v>
      </c>
      <c r="BD55" s="265"/>
      <c r="BE55" s="265"/>
      <c r="BF55" s="265"/>
      <c r="BG55" s="265"/>
      <c r="BH55" s="265"/>
      <c r="BI55" s="265"/>
      <c r="BJ55" s="265"/>
      <c r="BK55" s="265"/>
      <c r="BL55" s="265"/>
      <c r="BM55" s="265"/>
      <c r="BN55" s="265"/>
      <c r="BO55" s="278"/>
      <c r="BP55" s="279">
        <v>55</v>
      </c>
      <c r="BQ55" s="141">
        <f t="shared" si="188"/>
        <v>25</v>
      </c>
      <c r="BR55" s="209" t="str">
        <f t="shared" si="189"/>
        <v>Wartość prawidłowa</v>
      </c>
      <c r="BS55" s="926">
        <f t="shared" si="53"/>
        <v>40</v>
      </c>
      <c r="BT55" s="118">
        <f t="shared" si="54"/>
        <v>30</v>
      </c>
      <c r="BU55" s="118">
        <f t="shared" si="55"/>
        <v>0</v>
      </c>
      <c r="BV55" s="118">
        <f t="shared" si="56"/>
        <v>0</v>
      </c>
      <c r="BW55" s="118">
        <f t="shared" si="57"/>
        <v>55</v>
      </c>
      <c r="BX55" s="209">
        <f t="shared" si="58"/>
        <v>0</v>
      </c>
      <c r="BY55" s="927">
        <f t="shared" si="59"/>
        <v>125</v>
      </c>
      <c r="BZ55" s="928">
        <f t="shared" si="60"/>
        <v>1.6</v>
      </c>
      <c r="CA55" s="929">
        <f t="shared" si="61"/>
        <v>1.2</v>
      </c>
      <c r="CB55" s="929">
        <f t="shared" si="62"/>
        <v>0</v>
      </c>
      <c r="CC55" s="929">
        <f t="shared" si="63"/>
        <v>0</v>
      </c>
      <c r="CD55" s="929">
        <f t="shared" si="64"/>
        <v>2.2000000000000002</v>
      </c>
      <c r="CE55" s="949">
        <f t="shared" si="65"/>
        <v>0</v>
      </c>
      <c r="CF55" s="963">
        <f t="shared" si="66"/>
        <v>5</v>
      </c>
      <c r="CG55" s="957">
        <f t="shared" si="190"/>
        <v>70</v>
      </c>
      <c r="CH55" s="209">
        <f t="shared" si="191"/>
        <v>30</v>
      </c>
      <c r="CI55" s="930">
        <f t="shared" si="192"/>
        <v>2.8</v>
      </c>
      <c r="CJ55" s="998">
        <f t="shared" si="193"/>
        <v>1.2</v>
      </c>
      <c r="CK55" s="1000">
        <f>Matryca!Q55</f>
        <v>3</v>
      </c>
      <c r="CL55" s="1001">
        <f>Matryca!R55</f>
        <v>2</v>
      </c>
      <c r="CM55" s="1002">
        <f>Matryca!S55</f>
        <v>1</v>
      </c>
    </row>
    <row r="56" spans="1:91" s="44" customFormat="1" ht="31.5" customHeight="1" x14ac:dyDescent="0.25">
      <c r="A56" s="46">
        <v>36</v>
      </c>
      <c r="B56" s="31"/>
      <c r="C56" s="46" t="s">
        <v>107</v>
      </c>
      <c r="D56" s="46"/>
      <c r="E56" s="47">
        <v>2</v>
      </c>
      <c r="F56" s="32" t="s">
        <v>459</v>
      </c>
      <c r="G56" s="32" t="s">
        <v>59</v>
      </c>
      <c r="H56" s="33"/>
      <c r="I56" s="118" t="s">
        <v>446</v>
      </c>
      <c r="J56" s="118"/>
      <c r="K56" s="118"/>
      <c r="L56" s="1089" t="s">
        <v>418</v>
      </c>
      <c r="M56" s="192">
        <f t="shared" si="173"/>
        <v>100</v>
      </c>
      <c r="N56" s="50">
        <f t="shared" si="174"/>
        <v>40</v>
      </c>
      <c r="O56" s="51">
        <f t="shared" si="175"/>
        <v>60</v>
      </c>
      <c r="P56" s="415">
        <f t="shared" si="176"/>
        <v>60</v>
      </c>
      <c r="Q56" s="557">
        <f t="shared" si="177"/>
        <v>4</v>
      </c>
      <c r="R56" s="38">
        <f t="shared" si="178"/>
        <v>0</v>
      </c>
      <c r="S56" s="38">
        <f t="shared" si="179"/>
        <v>0</v>
      </c>
      <c r="T56" s="39">
        <f t="shared" si="180"/>
        <v>2</v>
      </c>
      <c r="U56" s="40">
        <f t="shared" si="181"/>
        <v>2.4</v>
      </c>
      <c r="V56" s="201" t="s">
        <v>56</v>
      </c>
      <c r="W56" s="43" t="s">
        <v>99</v>
      </c>
      <c r="X56" s="155">
        <v>4</v>
      </c>
      <c r="Y56" s="53">
        <f t="shared" si="182"/>
        <v>100</v>
      </c>
      <c r="Z56" s="54">
        <f t="shared" si="183"/>
        <v>60</v>
      </c>
      <c r="AA56" s="419">
        <f t="shared" si="184"/>
        <v>60</v>
      </c>
      <c r="AB56" s="260">
        <v>30</v>
      </c>
      <c r="AC56" s="440">
        <v>30</v>
      </c>
      <c r="AD56" s="260"/>
      <c r="AE56" s="886">
        <v>30</v>
      </c>
      <c r="AG56" s="265"/>
      <c r="AH56" s="265"/>
      <c r="AI56" s="265"/>
      <c r="AJ56" s="265"/>
      <c r="AK56" s="265"/>
      <c r="AL56" s="265"/>
      <c r="AM56" s="265"/>
      <c r="AN56" s="265"/>
      <c r="AO56" s="265"/>
      <c r="AP56" s="265"/>
      <c r="AQ56" s="265"/>
      <c r="AR56" s="278"/>
      <c r="AS56" s="675">
        <v>40</v>
      </c>
      <c r="AT56" s="43"/>
      <c r="AU56" s="202"/>
      <c r="AV56" s="49">
        <f t="shared" si="185"/>
        <v>0</v>
      </c>
      <c r="AW56" s="54">
        <f t="shared" si="186"/>
        <v>0</v>
      </c>
      <c r="AX56" s="424">
        <f t="shared" si="187"/>
        <v>0</v>
      </c>
      <c r="AY56" s="260"/>
      <c r="AZ56" s="277"/>
      <c r="BA56" s="265"/>
      <c r="BB56" s="265"/>
      <c r="BC56" s="265"/>
      <c r="BD56" s="265"/>
      <c r="BE56" s="265"/>
      <c r="BF56" s="265"/>
      <c r="BG56" s="265"/>
      <c r="BH56" s="265"/>
      <c r="BI56" s="265"/>
      <c r="BJ56" s="265"/>
      <c r="BK56" s="265"/>
      <c r="BL56" s="265"/>
      <c r="BM56" s="265"/>
      <c r="BN56" s="265"/>
      <c r="BO56" s="278"/>
      <c r="BP56" s="279"/>
      <c r="BQ56" s="141">
        <f t="shared" si="188"/>
        <v>25</v>
      </c>
      <c r="BR56" s="209" t="str">
        <f t="shared" si="189"/>
        <v>Wartość prawidłowa</v>
      </c>
      <c r="BS56" s="926">
        <f t="shared" si="53"/>
        <v>30</v>
      </c>
      <c r="BT56" s="118">
        <f t="shared" si="54"/>
        <v>30</v>
      </c>
      <c r="BU56" s="118">
        <f t="shared" si="55"/>
        <v>0</v>
      </c>
      <c r="BV56" s="118">
        <f t="shared" si="56"/>
        <v>0</v>
      </c>
      <c r="BW56" s="118">
        <f t="shared" si="57"/>
        <v>40</v>
      </c>
      <c r="BX56" s="209">
        <f t="shared" si="58"/>
        <v>0</v>
      </c>
      <c r="BY56" s="927">
        <f t="shared" si="59"/>
        <v>100</v>
      </c>
      <c r="BZ56" s="928">
        <f t="shared" si="60"/>
        <v>1.2</v>
      </c>
      <c r="CA56" s="929">
        <f t="shared" si="61"/>
        <v>1.2</v>
      </c>
      <c r="CB56" s="929">
        <f t="shared" si="62"/>
        <v>0</v>
      </c>
      <c r="CC56" s="929">
        <f t="shared" si="63"/>
        <v>0</v>
      </c>
      <c r="CD56" s="929">
        <f t="shared" si="64"/>
        <v>1.6</v>
      </c>
      <c r="CE56" s="949">
        <f t="shared" si="65"/>
        <v>0</v>
      </c>
      <c r="CF56" s="963">
        <f t="shared" si="66"/>
        <v>4</v>
      </c>
      <c r="CG56" s="957">
        <f t="shared" si="190"/>
        <v>60</v>
      </c>
      <c r="CH56" s="209">
        <f t="shared" si="191"/>
        <v>30</v>
      </c>
      <c r="CI56" s="930">
        <f t="shared" si="192"/>
        <v>2.4</v>
      </c>
      <c r="CJ56" s="998">
        <f t="shared" si="193"/>
        <v>1.2</v>
      </c>
      <c r="CK56" s="1000">
        <f>Matryca!Q56</f>
        <v>2</v>
      </c>
      <c r="CL56" s="1001">
        <f>Matryca!R56</f>
        <v>2</v>
      </c>
      <c r="CM56" s="1002">
        <f>Matryca!S56</f>
        <v>1</v>
      </c>
    </row>
    <row r="57" spans="1:91" s="44" customFormat="1" ht="30" customHeight="1" x14ac:dyDescent="0.25">
      <c r="A57" s="46">
        <v>37</v>
      </c>
      <c r="B57" s="47"/>
      <c r="C57" s="46" t="s">
        <v>107</v>
      </c>
      <c r="D57" s="46"/>
      <c r="E57" s="47">
        <v>2</v>
      </c>
      <c r="F57" s="32" t="s">
        <v>459</v>
      </c>
      <c r="G57" s="46" t="s">
        <v>59</v>
      </c>
      <c r="H57" s="118"/>
      <c r="I57" s="194" t="s">
        <v>461</v>
      </c>
      <c r="J57" s="118"/>
      <c r="K57" s="118"/>
      <c r="L57" s="1089" t="s">
        <v>418</v>
      </c>
      <c r="M57" s="49">
        <f t="shared" si="173"/>
        <v>100</v>
      </c>
      <c r="N57" s="50">
        <f t="shared" si="174"/>
        <v>50</v>
      </c>
      <c r="O57" s="54">
        <f t="shared" si="175"/>
        <v>50</v>
      </c>
      <c r="P57" s="424">
        <f t="shared" si="176"/>
        <v>50</v>
      </c>
      <c r="Q57" s="557">
        <f t="shared" si="177"/>
        <v>4</v>
      </c>
      <c r="R57" s="76">
        <f t="shared" si="178"/>
        <v>0</v>
      </c>
      <c r="S57" s="76">
        <f t="shared" si="179"/>
        <v>0</v>
      </c>
      <c r="T57" s="39">
        <f t="shared" si="180"/>
        <v>2.4</v>
      </c>
      <c r="U57" s="187">
        <f t="shared" si="181"/>
        <v>2</v>
      </c>
      <c r="V57" s="201" t="s">
        <v>56</v>
      </c>
      <c r="W57" s="55"/>
      <c r="X57" s="46"/>
      <c r="Y57" s="53">
        <f t="shared" si="182"/>
        <v>0</v>
      </c>
      <c r="Z57" s="54">
        <f t="shared" si="183"/>
        <v>0</v>
      </c>
      <c r="AA57" s="419">
        <f t="shared" si="184"/>
        <v>0</v>
      </c>
      <c r="AB57" s="265"/>
      <c r="AC57" s="440"/>
      <c r="AD57" s="260"/>
      <c r="AE57" s="265"/>
      <c r="AF57" s="265"/>
      <c r="AG57" s="265"/>
      <c r="AH57" s="265"/>
      <c r="AI57" s="265"/>
      <c r="AJ57" s="265"/>
      <c r="AK57" s="265"/>
      <c r="AL57" s="265"/>
      <c r="AM57" s="265"/>
      <c r="AN57" s="265"/>
      <c r="AO57" s="265"/>
      <c r="AP57" s="265"/>
      <c r="AQ57" s="265"/>
      <c r="AR57" s="278"/>
      <c r="AS57" s="675"/>
      <c r="AT57" s="55" t="s">
        <v>99</v>
      </c>
      <c r="AU57" s="155">
        <v>4</v>
      </c>
      <c r="AV57" s="49">
        <f t="shared" si="185"/>
        <v>100</v>
      </c>
      <c r="AW57" s="54">
        <f t="shared" si="186"/>
        <v>50</v>
      </c>
      <c r="AX57" s="424">
        <f t="shared" si="187"/>
        <v>50</v>
      </c>
      <c r="AY57" s="265">
        <v>30</v>
      </c>
      <c r="AZ57" s="286">
        <v>30</v>
      </c>
      <c r="BA57" s="265"/>
      <c r="BB57" s="886">
        <v>20</v>
      </c>
      <c r="BC57" s="46"/>
      <c r="BD57" s="265"/>
      <c r="BE57" s="265"/>
      <c r="BF57" s="265"/>
      <c r="BG57" s="265"/>
      <c r="BH57" s="265"/>
      <c r="BI57" s="265"/>
      <c r="BJ57" s="265"/>
      <c r="BK57" s="265"/>
      <c r="BL57" s="265"/>
      <c r="BM57" s="265"/>
      <c r="BN57" s="265"/>
      <c r="BO57" s="278"/>
      <c r="BP57" s="309">
        <v>50</v>
      </c>
      <c r="BQ57" s="142">
        <f t="shared" si="188"/>
        <v>25</v>
      </c>
      <c r="BR57" s="209" t="str">
        <f t="shared" si="189"/>
        <v>Wartość prawidłowa</v>
      </c>
      <c r="BS57" s="926">
        <f t="shared" si="53"/>
        <v>20</v>
      </c>
      <c r="BT57" s="118">
        <f t="shared" si="54"/>
        <v>30</v>
      </c>
      <c r="BU57" s="118">
        <f t="shared" si="55"/>
        <v>0</v>
      </c>
      <c r="BV57" s="118">
        <f t="shared" si="56"/>
        <v>0</v>
      </c>
      <c r="BW57" s="118">
        <f t="shared" si="57"/>
        <v>50</v>
      </c>
      <c r="BX57" s="209">
        <f t="shared" si="58"/>
        <v>0</v>
      </c>
      <c r="BY57" s="927">
        <f t="shared" si="59"/>
        <v>100</v>
      </c>
      <c r="BZ57" s="928">
        <f t="shared" si="60"/>
        <v>0.8</v>
      </c>
      <c r="CA57" s="929">
        <f t="shared" si="61"/>
        <v>1.2</v>
      </c>
      <c r="CB57" s="929">
        <f t="shared" si="62"/>
        <v>0</v>
      </c>
      <c r="CC57" s="929">
        <f t="shared" si="63"/>
        <v>0</v>
      </c>
      <c r="CD57" s="929">
        <f t="shared" si="64"/>
        <v>2</v>
      </c>
      <c r="CE57" s="949">
        <f t="shared" si="65"/>
        <v>0</v>
      </c>
      <c r="CF57" s="963">
        <f t="shared" si="66"/>
        <v>4</v>
      </c>
      <c r="CG57" s="957">
        <f t="shared" si="190"/>
        <v>50</v>
      </c>
      <c r="CH57" s="209">
        <f t="shared" si="191"/>
        <v>30</v>
      </c>
      <c r="CI57" s="930">
        <f t="shared" si="192"/>
        <v>2</v>
      </c>
      <c r="CJ57" s="998">
        <f t="shared" si="193"/>
        <v>1.2</v>
      </c>
      <c r="CK57" s="1000">
        <f>Matryca!Q57</f>
        <v>3</v>
      </c>
      <c r="CL57" s="1001">
        <f>Matryca!R57</f>
        <v>2</v>
      </c>
      <c r="CM57" s="1002">
        <f>Matryca!S57</f>
        <v>1</v>
      </c>
    </row>
    <row r="58" spans="1:91" s="44" customFormat="1" ht="30" customHeight="1" x14ac:dyDescent="0.25">
      <c r="A58" s="46">
        <v>38</v>
      </c>
      <c r="B58" s="31"/>
      <c r="C58" s="46" t="s">
        <v>107</v>
      </c>
      <c r="D58" s="46"/>
      <c r="E58" s="47">
        <v>2</v>
      </c>
      <c r="F58" s="32" t="s">
        <v>459</v>
      </c>
      <c r="G58" s="32" t="s">
        <v>59</v>
      </c>
      <c r="H58" s="33"/>
      <c r="I58" s="118" t="s">
        <v>584</v>
      </c>
      <c r="J58" s="118"/>
      <c r="K58" s="118"/>
      <c r="L58" s="1089" t="s">
        <v>418</v>
      </c>
      <c r="M58" s="192">
        <f t="shared" si="173"/>
        <v>50</v>
      </c>
      <c r="N58" s="50">
        <f t="shared" si="174"/>
        <v>0</v>
      </c>
      <c r="O58" s="51">
        <f t="shared" si="175"/>
        <v>50</v>
      </c>
      <c r="P58" s="415">
        <f t="shared" si="176"/>
        <v>50</v>
      </c>
      <c r="Q58" s="557">
        <f t="shared" si="177"/>
        <v>2</v>
      </c>
      <c r="R58" s="38">
        <f t="shared" si="178"/>
        <v>0</v>
      </c>
      <c r="S58" s="38">
        <f t="shared" si="179"/>
        <v>0</v>
      </c>
      <c r="T58" s="39">
        <f t="shared" si="180"/>
        <v>1</v>
      </c>
      <c r="U58" s="40">
        <f t="shared" si="181"/>
        <v>2</v>
      </c>
      <c r="V58" s="201" t="s">
        <v>99</v>
      </c>
      <c r="W58" s="43" t="s">
        <v>99</v>
      </c>
      <c r="X58" s="154">
        <v>2</v>
      </c>
      <c r="Y58" s="53">
        <f t="shared" si="182"/>
        <v>50</v>
      </c>
      <c r="Z58" s="54">
        <f t="shared" si="183"/>
        <v>50</v>
      </c>
      <c r="AA58" s="419">
        <f t="shared" si="184"/>
        <v>50</v>
      </c>
      <c r="AB58" s="260">
        <v>25</v>
      </c>
      <c r="AC58" s="440">
        <v>25</v>
      </c>
      <c r="AD58" s="260"/>
      <c r="AE58" s="886">
        <v>25</v>
      </c>
      <c r="AG58" s="265"/>
      <c r="AH58" s="265"/>
      <c r="AI58" s="265"/>
      <c r="AJ58" s="265"/>
      <c r="AK58" s="265"/>
      <c r="AL58" s="265"/>
      <c r="AM58" s="265"/>
      <c r="AN58" s="265"/>
      <c r="AO58" s="265"/>
      <c r="AP58" s="265"/>
      <c r="AQ58" s="265"/>
      <c r="AR58" s="278"/>
      <c r="AS58" s="675"/>
      <c r="AT58" s="43"/>
      <c r="AU58" s="202"/>
      <c r="AV58" s="49">
        <f t="shared" si="185"/>
        <v>0</v>
      </c>
      <c r="AW58" s="54">
        <f t="shared" si="186"/>
        <v>0</v>
      </c>
      <c r="AX58" s="424">
        <f t="shared" si="187"/>
        <v>0</v>
      </c>
      <c r="AY58" s="261"/>
      <c r="AZ58" s="274"/>
      <c r="BA58" s="266"/>
      <c r="BB58" s="266"/>
      <c r="BC58" s="266"/>
      <c r="BD58" s="266"/>
      <c r="BE58" s="266"/>
      <c r="BF58" s="266"/>
      <c r="BG58" s="266"/>
      <c r="BH58" s="266"/>
      <c r="BI58" s="266"/>
      <c r="BJ58" s="266"/>
      <c r="BK58" s="266"/>
      <c r="BL58" s="266"/>
      <c r="BM58" s="266"/>
      <c r="BN58" s="266"/>
      <c r="BO58" s="275"/>
      <c r="BP58" s="276"/>
      <c r="BQ58" s="141">
        <f t="shared" si="188"/>
        <v>25</v>
      </c>
      <c r="BR58" s="209" t="str">
        <f t="shared" si="189"/>
        <v>Wartość prawidłowa</v>
      </c>
      <c r="BS58" s="926">
        <f t="shared" si="53"/>
        <v>25</v>
      </c>
      <c r="BT58" s="118">
        <f t="shared" si="54"/>
        <v>25</v>
      </c>
      <c r="BU58" s="118">
        <f t="shared" si="55"/>
        <v>0</v>
      </c>
      <c r="BV58" s="118">
        <f t="shared" si="56"/>
        <v>0</v>
      </c>
      <c r="BW58" s="118">
        <f t="shared" si="57"/>
        <v>0</v>
      </c>
      <c r="BX58" s="209">
        <f t="shared" si="58"/>
        <v>0</v>
      </c>
      <c r="BY58" s="927">
        <f t="shared" si="59"/>
        <v>50</v>
      </c>
      <c r="BZ58" s="928">
        <f t="shared" si="60"/>
        <v>1</v>
      </c>
      <c r="CA58" s="929">
        <f t="shared" si="61"/>
        <v>1</v>
      </c>
      <c r="CB58" s="929">
        <f t="shared" si="62"/>
        <v>0</v>
      </c>
      <c r="CC58" s="929">
        <f t="shared" si="63"/>
        <v>0</v>
      </c>
      <c r="CD58" s="929">
        <f t="shared" si="64"/>
        <v>0</v>
      </c>
      <c r="CE58" s="949">
        <f t="shared" si="65"/>
        <v>0</v>
      </c>
      <c r="CF58" s="963">
        <f t="shared" si="66"/>
        <v>2</v>
      </c>
      <c r="CG58" s="957">
        <f t="shared" si="190"/>
        <v>50</v>
      </c>
      <c r="CH58" s="209">
        <f t="shared" si="191"/>
        <v>25</v>
      </c>
      <c r="CI58" s="930">
        <f t="shared" si="192"/>
        <v>2</v>
      </c>
      <c r="CJ58" s="998">
        <f t="shared" si="193"/>
        <v>1</v>
      </c>
      <c r="CK58" s="1000">
        <f>Matryca!Q58</f>
        <v>1</v>
      </c>
      <c r="CL58" s="1001">
        <f>Matryca!R58</f>
        <v>1</v>
      </c>
      <c r="CM58" s="1002">
        <f>Matryca!S58</f>
        <v>1</v>
      </c>
    </row>
    <row r="59" spans="1:91" s="44" customFormat="1" ht="30" customHeight="1" x14ac:dyDescent="0.25">
      <c r="A59" s="46">
        <v>39</v>
      </c>
      <c r="B59" s="31"/>
      <c r="C59" s="46" t="s">
        <v>107</v>
      </c>
      <c r="D59" s="46"/>
      <c r="E59" s="47">
        <v>2</v>
      </c>
      <c r="F59" s="32" t="s">
        <v>459</v>
      </c>
      <c r="G59" s="46" t="s">
        <v>59</v>
      </c>
      <c r="H59" s="33"/>
      <c r="I59" s="506" t="s">
        <v>585</v>
      </c>
      <c r="J59" s="118"/>
      <c r="K59" s="118"/>
      <c r="L59" s="1089" t="s">
        <v>418</v>
      </c>
      <c r="M59" s="192">
        <f t="shared" si="173"/>
        <v>75</v>
      </c>
      <c r="N59" s="50">
        <f t="shared" si="174"/>
        <v>25</v>
      </c>
      <c r="O59" s="51">
        <f t="shared" si="175"/>
        <v>50</v>
      </c>
      <c r="P59" s="415">
        <f t="shared" si="176"/>
        <v>50</v>
      </c>
      <c r="Q59" s="52">
        <f t="shared" si="177"/>
        <v>3</v>
      </c>
      <c r="R59" s="38">
        <f t="shared" si="178"/>
        <v>0</v>
      </c>
      <c r="S59" s="38">
        <f t="shared" si="179"/>
        <v>0</v>
      </c>
      <c r="T59" s="39">
        <f t="shared" si="180"/>
        <v>1.2</v>
      </c>
      <c r="U59" s="40">
        <f t="shared" si="181"/>
        <v>2</v>
      </c>
      <c r="V59" s="201" t="s">
        <v>56</v>
      </c>
      <c r="W59" s="43"/>
      <c r="X59" s="155"/>
      <c r="Y59" s="53">
        <f t="shared" si="182"/>
        <v>0</v>
      </c>
      <c r="Z59" s="54">
        <f t="shared" si="183"/>
        <v>0</v>
      </c>
      <c r="AA59" s="419">
        <f t="shared" si="184"/>
        <v>0</v>
      </c>
      <c r="AB59" s="260"/>
      <c r="AC59" s="440"/>
      <c r="AD59" s="260"/>
      <c r="AE59" s="265"/>
      <c r="AF59" s="265"/>
      <c r="AG59" s="265"/>
      <c r="AH59" s="265"/>
      <c r="AI59" s="265"/>
      <c r="AJ59" s="265"/>
      <c r="AK59" s="265"/>
      <c r="AL59" s="265"/>
      <c r="AM59" s="265"/>
      <c r="AN59" s="265"/>
      <c r="AO59" s="265"/>
      <c r="AP59" s="265"/>
      <c r="AQ59" s="265"/>
      <c r="AR59" s="278"/>
      <c r="AS59" s="675"/>
      <c r="AT59" s="43" t="s">
        <v>99</v>
      </c>
      <c r="AU59" s="202">
        <v>3</v>
      </c>
      <c r="AV59" s="49">
        <f t="shared" si="185"/>
        <v>75</v>
      </c>
      <c r="AW59" s="54">
        <f t="shared" si="186"/>
        <v>50</v>
      </c>
      <c r="AX59" s="424">
        <f t="shared" si="187"/>
        <v>50</v>
      </c>
      <c r="AY59" s="260">
        <v>20</v>
      </c>
      <c r="AZ59" s="277">
        <v>20</v>
      </c>
      <c r="BA59" s="265"/>
      <c r="BB59" s="886">
        <v>30</v>
      </c>
      <c r="BD59" s="265"/>
      <c r="BE59" s="265"/>
      <c r="BF59" s="265"/>
      <c r="BG59" s="265"/>
      <c r="BH59" s="265"/>
      <c r="BI59" s="265"/>
      <c r="BJ59" s="265"/>
      <c r="BK59" s="265"/>
      <c r="BL59" s="265"/>
      <c r="BM59" s="265"/>
      <c r="BN59" s="265"/>
      <c r="BO59" s="278"/>
      <c r="BP59" s="279">
        <v>25</v>
      </c>
      <c r="BQ59" s="141">
        <f t="shared" si="188"/>
        <v>25</v>
      </c>
      <c r="BR59" s="209" t="s">
        <v>583</v>
      </c>
      <c r="BS59" s="926">
        <f t="shared" si="53"/>
        <v>30</v>
      </c>
      <c r="BT59" s="118">
        <f t="shared" si="54"/>
        <v>20</v>
      </c>
      <c r="BU59" s="118">
        <f t="shared" si="55"/>
        <v>0</v>
      </c>
      <c r="BV59" s="118">
        <f t="shared" si="56"/>
        <v>0</v>
      </c>
      <c r="BW59" s="118">
        <f t="shared" si="57"/>
        <v>25</v>
      </c>
      <c r="BX59" s="209">
        <f t="shared" si="58"/>
        <v>0</v>
      </c>
      <c r="BY59" s="927">
        <f t="shared" si="59"/>
        <v>75</v>
      </c>
      <c r="BZ59" s="928">
        <f t="shared" si="60"/>
        <v>1.2</v>
      </c>
      <c r="CA59" s="929">
        <f t="shared" si="61"/>
        <v>0.8</v>
      </c>
      <c r="CB59" s="929">
        <f t="shared" si="62"/>
        <v>0</v>
      </c>
      <c r="CC59" s="929">
        <f t="shared" si="63"/>
        <v>0</v>
      </c>
      <c r="CD59" s="929">
        <f t="shared" si="64"/>
        <v>1</v>
      </c>
      <c r="CE59" s="949">
        <f t="shared" si="65"/>
        <v>0</v>
      </c>
      <c r="CF59" s="963">
        <f t="shared" si="66"/>
        <v>3</v>
      </c>
      <c r="CG59" s="957">
        <f t="shared" si="190"/>
        <v>50</v>
      </c>
      <c r="CH59" s="209">
        <f t="shared" si="191"/>
        <v>20</v>
      </c>
      <c r="CI59" s="930">
        <f t="shared" si="192"/>
        <v>2</v>
      </c>
      <c r="CJ59" s="998">
        <f t="shared" si="193"/>
        <v>0.8</v>
      </c>
      <c r="CK59" s="1000">
        <f>Matryca!Q59</f>
        <v>2</v>
      </c>
      <c r="CL59" s="1001">
        <f>Matryca!R59</f>
        <v>3</v>
      </c>
      <c r="CM59" s="1002">
        <f>Matryca!S59</f>
        <v>1</v>
      </c>
    </row>
    <row r="60" spans="1:91" s="44" customFormat="1" ht="30" customHeight="1" thickBot="1" x14ac:dyDescent="0.3">
      <c r="A60" s="45">
        <v>40</v>
      </c>
      <c r="B60" s="62"/>
      <c r="C60" s="61" t="s">
        <v>107</v>
      </c>
      <c r="D60" s="61"/>
      <c r="E60" s="62">
        <v>2</v>
      </c>
      <c r="F60" s="704" t="s">
        <v>459</v>
      </c>
      <c r="G60" s="61" t="s">
        <v>59</v>
      </c>
      <c r="H60" s="63"/>
      <c r="I60" s="705" t="s">
        <v>449</v>
      </c>
      <c r="J60" s="121"/>
      <c r="K60" s="121"/>
      <c r="L60" s="1089" t="s">
        <v>418</v>
      </c>
      <c r="M60" s="706">
        <f t="shared" si="173"/>
        <v>50</v>
      </c>
      <c r="N60" s="66">
        <f t="shared" si="174"/>
        <v>20</v>
      </c>
      <c r="O60" s="707">
        <f t="shared" si="175"/>
        <v>30</v>
      </c>
      <c r="P60" s="708">
        <f t="shared" si="176"/>
        <v>30</v>
      </c>
      <c r="Q60" s="69">
        <f t="shared" si="177"/>
        <v>2</v>
      </c>
      <c r="R60" s="215">
        <f t="shared" si="178"/>
        <v>0</v>
      </c>
      <c r="S60" s="215">
        <f t="shared" si="179"/>
        <v>0</v>
      </c>
      <c r="T60" s="70">
        <f t="shared" si="180"/>
        <v>0.66666666666666663</v>
      </c>
      <c r="U60" s="709">
        <f t="shared" si="181"/>
        <v>1.2</v>
      </c>
      <c r="V60" s="216" t="s">
        <v>56</v>
      </c>
      <c r="W60" s="89" t="s">
        <v>99</v>
      </c>
      <c r="X60" s="206">
        <v>2</v>
      </c>
      <c r="Y60" s="71">
        <f t="shared" si="182"/>
        <v>50</v>
      </c>
      <c r="Z60" s="72">
        <f t="shared" si="183"/>
        <v>30</v>
      </c>
      <c r="AA60" s="423">
        <f t="shared" si="184"/>
        <v>30</v>
      </c>
      <c r="AB60" s="262">
        <v>10</v>
      </c>
      <c r="AC60" s="731">
        <v>10</v>
      </c>
      <c r="AD60" s="262">
        <v>20</v>
      </c>
      <c r="AE60" s="281"/>
      <c r="AF60" s="281"/>
      <c r="AG60" s="281"/>
      <c r="AH60" s="281"/>
      <c r="AI60" s="281"/>
      <c r="AJ60" s="281"/>
      <c r="AK60" s="281"/>
      <c r="AL60" s="281"/>
      <c r="AM60" s="281"/>
      <c r="AN60" s="281"/>
      <c r="AO60" s="281"/>
      <c r="AP60" s="281"/>
      <c r="AQ60" s="281"/>
      <c r="AR60" s="282"/>
      <c r="AS60" s="710">
        <v>20</v>
      </c>
      <c r="AT60" s="89"/>
      <c r="AU60" s="203"/>
      <c r="AV60" s="65">
        <f t="shared" si="185"/>
        <v>0</v>
      </c>
      <c r="AW60" s="72">
        <f t="shared" si="186"/>
        <v>0</v>
      </c>
      <c r="AX60" s="425">
        <f t="shared" si="187"/>
        <v>0</v>
      </c>
      <c r="AY60" s="262"/>
      <c r="AZ60" s="280"/>
      <c r="BA60" s="281"/>
      <c r="BB60" s="281"/>
      <c r="BC60" s="281"/>
      <c r="BD60" s="281"/>
      <c r="BE60" s="281"/>
      <c r="BF60" s="281"/>
      <c r="BG60" s="281"/>
      <c r="BH60" s="281"/>
      <c r="BI60" s="281"/>
      <c r="BJ60" s="281"/>
      <c r="BK60" s="281"/>
      <c r="BL60" s="281"/>
      <c r="BM60" s="281"/>
      <c r="BN60" s="281"/>
      <c r="BO60" s="282"/>
      <c r="BP60" s="283"/>
      <c r="BQ60" s="217">
        <f t="shared" si="188"/>
        <v>25</v>
      </c>
      <c r="BR60" s="210" t="str">
        <f>IF(OR(BQ60&gt;30,BQ60&lt;25),"1 ECTS powinien mieścić się przedziale 25-30h","Wartość prawidłowa")</f>
        <v>Wartość prawidłowa</v>
      </c>
      <c r="BS60" s="926">
        <f t="shared" si="53"/>
        <v>20</v>
      </c>
      <c r="BT60" s="118">
        <f t="shared" si="54"/>
        <v>10</v>
      </c>
      <c r="BU60" s="118">
        <f t="shared" si="55"/>
        <v>0</v>
      </c>
      <c r="BV60" s="118">
        <f t="shared" si="56"/>
        <v>0</v>
      </c>
      <c r="BW60" s="118">
        <f t="shared" si="57"/>
        <v>20</v>
      </c>
      <c r="BX60" s="209">
        <f t="shared" si="58"/>
        <v>0</v>
      </c>
      <c r="BY60" s="927">
        <f t="shared" si="59"/>
        <v>50</v>
      </c>
      <c r="BZ60" s="928">
        <f t="shared" si="60"/>
        <v>0.8</v>
      </c>
      <c r="CA60" s="929">
        <f t="shared" si="61"/>
        <v>0.4</v>
      </c>
      <c r="CB60" s="929">
        <f t="shared" si="62"/>
        <v>0</v>
      </c>
      <c r="CC60" s="929">
        <f t="shared" si="63"/>
        <v>0</v>
      </c>
      <c r="CD60" s="929">
        <f t="shared" si="64"/>
        <v>0.8</v>
      </c>
      <c r="CE60" s="949">
        <f t="shared" si="65"/>
        <v>0</v>
      </c>
      <c r="CF60" s="963">
        <f t="shared" si="66"/>
        <v>2</v>
      </c>
      <c r="CG60" s="957">
        <f t="shared" si="190"/>
        <v>30</v>
      </c>
      <c r="CH60" s="209">
        <f t="shared" si="191"/>
        <v>10</v>
      </c>
      <c r="CI60" s="930">
        <f t="shared" si="192"/>
        <v>1.2000000000000002</v>
      </c>
      <c r="CJ60" s="998">
        <f t="shared" si="193"/>
        <v>0.4</v>
      </c>
      <c r="CK60" s="1000">
        <f>Matryca!Q60</f>
        <v>1</v>
      </c>
      <c r="CL60" s="1001">
        <f>Matryca!R60</f>
        <v>0</v>
      </c>
      <c r="CM60" s="1002">
        <f>Matryca!S60</f>
        <v>1</v>
      </c>
    </row>
    <row r="61" spans="1:91" s="44" customFormat="1" ht="30" customHeight="1" thickBot="1" x14ac:dyDescent="0.3">
      <c r="A61" s="302"/>
      <c r="B61" s="303"/>
      <c r="C61" s="304"/>
      <c r="D61" s="304"/>
      <c r="E61" s="303"/>
      <c r="F61" s="304"/>
      <c r="G61" s="304"/>
      <c r="H61" s="305"/>
      <c r="I61" s="301" t="s">
        <v>109</v>
      </c>
      <c r="J61" s="711">
        <f>COUNTIF(J43:J60,"tak")</f>
        <v>0</v>
      </c>
      <c r="K61" s="712">
        <f>COUNTIF(K43:K60,"tak")</f>
        <v>0</v>
      </c>
      <c r="L61" s="712">
        <f>COUNTIF(L43:L60,"tak")</f>
        <v>4</v>
      </c>
      <c r="M61" s="713">
        <f t="shared" ref="M61:AR61" si="246">SUM(M43:M60)</f>
        <v>1520</v>
      </c>
      <c r="N61" s="713">
        <f t="shared" si="246"/>
        <v>450</v>
      </c>
      <c r="O61" s="713">
        <f t="shared" si="246"/>
        <v>1070</v>
      </c>
      <c r="P61" s="713">
        <f t="shared" si="246"/>
        <v>1070</v>
      </c>
      <c r="Q61" s="713">
        <f t="shared" si="246"/>
        <v>60</v>
      </c>
      <c r="R61" s="713">
        <f t="shared" si="246"/>
        <v>0</v>
      </c>
      <c r="S61" s="713">
        <f t="shared" si="246"/>
        <v>19.192307692307693</v>
      </c>
      <c r="T61" s="713">
        <f t="shared" si="246"/>
        <v>16.326190476190476</v>
      </c>
      <c r="U61" s="713">
        <f t="shared" si="246"/>
        <v>41.8</v>
      </c>
      <c r="V61" s="713">
        <f t="shared" si="246"/>
        <v>0</v>
      </c>
      <c r="W61" s="713">
        <f t="shared" si="246"/>
        <v>0</v>
      </c>
      <c r="X61" s="714">
        <f t="shared" si="246"/>
        <v>29</v>
      </c>
      <c r="Y61" s="713">
        <f t="shared" si="246"/>
        <v>735</v>
      </c>
      <c r="Z61" s="713">
        <f t="shared" si="246"/>
        <v>555</v>
      </c>
      <c r="AA61" s="713">
        <f t="shared" si="246"/>
        <v>555</v>
      </c>
      <c r="AB61" s="715">
        <f t="shared" si="246"/>
        <v>125</v>
      </c>
      <c r="AC61" s="715">
        <f t="shared" si="246"/>
        <v>125</v>
      </c>
      <c r="AD61" s="715">
        <f t="shared" si="246"/>
        <v>25</v>
      </c>
      <c r="AE61" s="715">
        <f t="shared" si="246"/>
        <v>215</v>
      </c>
      <c r="AF61" s="715">
        <f t="shared" si="246"/>
        <v>0</v>
      </c>
      <c r="AG61" s="715">
        <f t="shared" si="246"/>
        <v>0</v>
      </c>
      <c r="AH61" s="715">
        <f t="shared" si="246"/>
        <v>0</v>
      </c>
      <c r="AI61" s="715">
        <f t="shared" si="246"/>
        <v>0</v>
      </c>
      <c r="AJ61" s="715">
        <f t="shared" si="246"/>
        <v>0</v>
      </c>
      <c r="AK61" s="715">
        <f t="shared" si="246"/>
        <v>0</v>
      </c>
      <c r="AL61" s="715">
        <f t="shared" si="246"/>
        <v>0</v>
      </c>
      <c r="AM61" s="715">
        <f t="shared" si="246"/>
        <v>0</v>
      </c>
      <c r="AN61" s="715">
        <f t="shared" si="246"/>
        <v>30</v>
      </c>
      <c r="AO61" s="715">
        <f t="shared" si="246"/>
        <v>0</v>
      </c>
      <c r="AP61" s="715">
        <f t="shared" si="246"/>
        <v>0</v>
      </c>
      <c r="AQ61" s="715">
        <f t="shared" si="246"/>
        <v>160</v>
      </c>
      <c r="AR61" s="715">
        <f t="shared" si="246"/>
        <v>0</v>
      </c>
      <c r="AS61" s="715">
        <f t="shared" ref="AS61:BP61" si="247">SUM(AS43:AS60)</f>
        <v>180</v>
      </c>
      <c r="AT61" s="715">
        <f t="shared" si="247"/>
        <v>0</v>
      </c>
      <c r="AU61" s="715">
        <f t="shared" si="247"/>
        <v>31</v>
      </c>
      <c r="AV61" s="715">
        <f t="shared" si="247"/>
        <v>785</v>
      </c>
      <c r="AW61" s="715">
        <f t="shared" si="247"/>
        <v>515</v>
      </c>
      <c r="AX61" s="715">
        <f t="shared" si="247"/>
        <v>515</v>
      </c>
      <c r="AY61" s="715">
        <f t="shared" si="247"/>
        <v>135</v>
      </c>
      <c r="AZ61" s="715">
        <f t="shared" si="247"/>
        <v>135</v>
      </c>
      <c r="BA61" s="715">
        <f t="shared" si="247"/>
        <v>0</v>
      </c>
      <c r="BB61" s="715">
        <f t="shared" si="247"/>
        <v>185</v>
      </c>
      <c r="BC61" s="715">
        <f t="shared" si="247"/>
        <v>0</v>
      </c>
      <c r="BD61" s="715">
        <f t="shared" si="247"/>
        <v>0</v>
      </c>
      <c r="BE61" s="715">
        <f t="shared" si="247"/>
        <v>0</v>
      </c>
      <c r="BF61" s="715">
        <f t="shared" si="247"/>
        <v>0</v>
      </c>
      <c r="BG61" s="715">
        <f t="shared" si="247"/>
        <v>0</v>
      </c>
      <c r="BH61" s="715">
        <f t="shared" si="247"/>
        <v>0</v>
      </c>
      <c r="BI61" s="715">
        <f t="shared" si="247"/>
        <v>0</v>
      </c>
      <c r="BJ61" s="715">
        <f t="shared" si="247"/>
        <v>0</v>
      </c>
      <c r="BK61" s="715">
        <f t="shared" si="247"/>
        <v>30</v>
      </c>
      <c r="BL61" s="715">
        <f t="shared" si="247"/>
        <v>5</v>
      </c>
      <c r="BM61" s="715">
        <f t="shared" si="247"/>
        <v>0</v>
      </c>
      <c r="BN61" s="715">
        <f t="shared" si="247"/>
        <v>160</v>
      </c>
      <c r="BO61" s="715">
        <f t="shared" si="247"/>
        <v>0</v>
      </c>
      <c r="BP61" s="715">
        <f t="shared" si="247"/>
        <v>270</v>
      </c>
      <c r="BQ61" s="716"/>
      <c r="BR61" s="717"/>
      <c r="BS61" s="715">
        <f t="shared" ref="BS61:CJ61" si="248">SUM(BS43:BS60)</f>
        <v>485</v>
      </c>
      <c r="BT61" s="715">
        <f t="shared" si="248"/>
        <v>260</v>
      </c>
      <c r="BU61" s="715">
        <f t="shared" si="248"/>
        <v>5</v>
      </c>
      <c r="BV61" s="715">
        <f t="shared" si="248"/>
        <v>0</v>
      </c>
      <c r="BW61" s="715">
        <f t="shared" si="248"/>
        <v>450</v>
      </c>
      <c r="BX61" s="715">
        <f t="shared" si="248"/>
        <v>320</v>
      </c>
      <c r="BY61" s="932">
        <f t="shared" si="248"/>
        <v>1520</v>
      </c>
      <c r="BZ61" s="932">
        <f t="shared" si="248"/>
        <v>19.399999999999999</v>
      </c>
      <c r="CA61" s="932">
        <f t="shared" si="248"/>
        <v>10.4</v>
      </c>
      <c r="CB61" s="932">
        <f t="shared" si="248"/>
        <v>0.2</v>
      </c>
      <c r="CC61" s="932">
        <f t="shared" si="248"/>
        <v>0</v>
      </c>
      <c r="CD61" s="932">
        <f t="shared" si="248"/>
        <v>18.000000000000004</v>
      </c>
      <c r="CE61" s="951">
        <f t="shared" si="248"/>
        <v>12</v>
      </c>
      <c r="CF61" s="965">
        <f t="shared" si="248"/>
        <v>60</v>
      </c>
      <c r="CG61" s="715">
        <f t="shared" si="248"/>
        <v>1065</v>
      </c>
      <c r="CH61" s="715">
        <f t="shared" si="248"/>
        <v>265</v>
      </c>
      <c r="CI61" s="932">
        <f t="shared" si="248"/>
        <v>41.8</v>
      </c>
      <c r="CJ61" s="1005">
        <f t="shared" si="248"/>
        <v>10.600000000000001</v>
      </c>
      <c r="CK61" s="1003">
        <f>Matryca!Q61</f>
        <v>21</v>
      </c>
      <c r="CL61" s="1004">
        <f>Matryca!R61</f>
        <v>31</v>
      </c>
      <c r="CM61" s="1003">
        <f>Matryca!S61</f>
        <v>20</v>
      </c>
    </row>
    <row r="62" spans="1:91" s="44" customFormat="1" ht="31.5" x14ac:dyDescent="0.25">
      <c r="A62" s="45">
        <v>41</v>
      </c>
      <c r="B62" s="79"/>
      <c r="C62" s="80" t="s">
        <v>107</v>
      </c>
      <c r="D62" s="80"/>
      <c r="E62" s="79">
        <v>3</v>
      </c>
      <c r="F62" s="1483" t="s">
        <v>469</v>
      </c>
      <c r="G62" s="32" t="s">
        <v>59</v>
      </c>
      <c r="H62" s="81"/>
      <c r="I62" s="310" t="s">
        <v>460</v>
      </c>
      <c r="J62" s="119"/>
      <c r="K62" s="119"/>
      <c r="L62" s="122" t="s">
        <v>418</v>
      </c>
      <c r="M62" s="191">
        <f t="shared" ref="M62:M76" si="249">Y62+AV62</f>
        <v>75</v>
      </c>
      <c r="N62" s="75">
        <f t="shared" ref="N62:N76" si="250">AS62+BP62</f>
        <v>50</v>
      </c>
      <c r="O62" s="82">
        <f t="shared" ref="O62:O76" si="251">Z62+AW62</f>
        <v>25</v>
      </c>
      <c r="P62" s="414">
        <f t="shared" ref="P62:P76" si="252">AA62+AX62</f>
        <v>25</v>
      </c>
      <c r="Q62" s="83">
        <f t="shared" ref="Q62:Q76" si="253">X62+AU62</f>
        <v>3</v>
      </c>
      <c r="R62" s="84">
        <f t="shared" ref="R62:R76" si="254">IFERROR((AL62+BI62)*Q62/O62," ")</f>
        <v>0</v>
      </c>
      <c r="S62" s="84">
        <f t="shared" ref="S62:S79" si="255">IFERROR(IF(L62="tak",(SUM(AE62:AL62,AQ62,BB62:BI62,BN62))*Q62/O62,0),0)</f>
        <v>0</v>
      </c>
      <c r="T62" s="85">
        <f t="shared" ref="T62:T76" si="256">IFERROR((AC62+AO62+AZ62+BL62)*Q62/O62," ")</f>
        <v>1.8</v>
      </c>
      <c r="U62" s="86">
        <f t="shared" ref="U62:U79" si="257">IFERROR((SUM(AB62,AD62:AN62,AY62,BA62:BK62,AP62:AQ62,BM62:BN62)*Q62/M62)," ")</f>
        <v>1</v>
      </c>
      <c r="V62" s="198" t="s">
        <v>56</v>
      </c>
      <c r="W62" s="43" t="s">
        <v>99</v>
      </c>
      <c r="X62" s="154">
        <v>3</v>
      </c>
      <c r="Y62" s="41">
        <f t="shared" ref="Y62:Y76" si="258">AS62+Z62</f>
        <v>75</v>
      </c>
      <c r="Z62" s="42">
        <f t="shared" ref="Z62:Z76" si="259">AR62+AA62</f>
        <v>25</v>
      </c>
      <c r="AA62" s="422">
        <f t="shared" ref="AA62:AA76" si="260">(SUM(AB62:AQ62))-AC62</f>
        <v>25</v>
      </c>
      <c r="AB62" s="672">
        <v>15</v>
      </c>
      <c r="AC62" s="313">
        <v>15</v>
      </c>
      <c r="AD62" s="312"/>
      <c r="AE62" s="887">
        <v>10</v>
      </c>
      <c r="AF62" s="80"/>
      <c r="AG62" s="312"/>
      <c r="AH62" s="312"/>
      <c r="AI62" s="312"/>
      <c r="AJ62" s="312"/>
      <c r="AK62" s="312"/>
      <c r="AL62" s="312"/>
      <c r="AM62" s="312"/>
      <c r="AN62" s="312"/>
      <c r="AO62" s="312"/>
      <c r="AP62" s="312"/>
      <c r="AQ62" s="312"/>
      <c r="AR62" s="314"/>
      <c r="AS62" s="763">
        <v>50</v>
      </c>
      <c r="AT62" s="199"/>
      <c r="AU62" s="200"/>
      <c r="AV62" s="311">
        <f t="shared" ref="AV62:AV76" si="261">BP62+AW62</f>
        <v>0</v>
      </c>
      <c r="AW62" s="88">
        <f t="shared" ref="AW62:AW76" si="262">BO62+AX62</f>
        <v>0</v>
      </c>
      <c r="AX62" s="426">
        <f t="shared" ref="AX62:AX76" si="263">(SUM(AY62:BN62))-AZ62</f>
        <v>0</v>
      </c>
      <c r="AY62" s="312"/>
      <c r="AZ62" s="313"/>
      <c r="BA62" s="312"/>
      <c r="BB62" s="312"/>
      <c r="BC62" s="312"/>
      <c r="BD62" s="312"/>
      <c r="BE62" s="312"/>
      <c r="BF62" s="312"/>
      <c r="BG62" s="312"/>
      <c r="BH62" s="312"/>
      <c r="BI62" s="312"/>
      <c r="BJ62" s="312"/>
      <c r="BK62" s="312"/>
      <c r="BL62" s="312"/>
      <c r="BM62" s="312"/>
      <c r="BN62" s="312"/>
      <c r="BO62" s="314"/>
      <c r="BP62" s="315"/>
      <c r="BQ62" s="140">
        <f t="shared" ref="BQ62:BQ78" si="264">IFERROR(M62/Q62," ")</f>
        <v>25</v>
      </c>
      <c r="BR62" s="208" t="str">
        <f t="shared" ref="BR62:BR76" si="265">IF(OR(BQ62&gt;30,BQ62&lt;25),"1 ECTS powinien mieścić się przedziale 25-30h","Wartość prawidłowa")</f>
        <v>Wartość prawidłowa</v>
      </c>
      <c r="BS62" s="926">
        <f t="shared" si="53"/>
        <v>10</v>
      </c>
      <c r="BT62" s="118">
        <f t="shared" si="54"/>
        <v>15</v>
      </c>
      <c r="BU62" s="118">
        <f t="shared" si="55"/>
        <v>0</v>
      </c>
      <c r="BV62" s="118">
        <f t="shared" si="56"/>
        <v>0</v>
      </c>
      <c r="BW62" s="118">
        <f t="shared" si="57"/>
        <v>50</v>
      </c>
      <c r="BX62" s="209">
        <f t="shared" si="58"/>
        <v>0</v>
      </c>
      <c r="BY62" s="927">
        <f t="shared" si="59"/>
        <v>75</v>
      </c>
      <c r="BZ62" s="928">
        <f t="shared" si="60"/>
        <v>0.4</v>
      </c>
      <c r="CA62" s="929">
        <f t="shared" si="61"/>
        <v>0.6</v>
      </c>
      <c r="CB62" s="929">
        <f t="shared" si="62"/>
        <v>0</v>
      </c>
      <c r="CC62" s="929">
        <f t="shared" si="63"/>
        <v>0</v>
      </c>
      <c r="CD62" s="929">
        <f t="shared" si="64"/>
        <v>2</v>
      </c>
      <c r="CE62" s="949">
        <f t="shared" si="65"/>
        <v>0</v>
      </c>
      <c r="CF62" s="963">
        <f t="shared" si="66"/>
        <v>3</v>
      </c>
      <c r="CG62" s="957">
        <f t="shared" ref="CG62:CG79" si="266">SUM(BS62:BT62,BX62)</f>
        <v>25</v>
      </c>
      <c r="CH62" s="209">
        <f t="shared" ref="CH62:CH79" si="267">SUM(BT62:BU62)</f>
        <v>15</v>
      </c>
      <c r="CI62" s="930">
        <f t="shared" ref="CI62:CI79" si="268">SUM(BZ62:CA62,CE62)</f>
        <v>1</v>
      </c>
      <c r="CJ62" s="998">
        <f t="shared" ref="CJ62:CJ79" si="269">SUM(CA62:CB62)</f>
        <v>0.6</v>
      </c>
      <c r="CK62" s="1000">
        <f>Matryca!Q62</f>
        <v>3</v>
      </c>
      <c r="CL62" s="1001">
        <f>Matryca!R62</f>
        <v>3</v>
      </c>
      <c r="CM62" s="1002">
        <f>Matryca!S62</f>
        <v>1</v>
      </c>
    </row>
    <row r="63" spans="1:91" s="44" customFormat="1" ht="30" customHeight="1" x14ac:dyDescent="0.25">
      <c r="A63" s="45">
        <v>42</v>
      </c>
      <c r="B63" s="47"/>
      <c r="C63" s="46" t="s">
        <v>107</v>
      </c>
      <c r="D63" s="46"/>
      <c r="E63" s="47">
        <v>3</v>
      </c>
      <c r="F63" s="46" t="s">
        <v>469</v>
      </c>
      <c r="G63" s="46" t="s">
        <v>59</v>
      </c>
      <c r="H63" s="118"/>
      <c r="I63" s="118" t="s">
        <v>462</v>
      </c>
      <c r="J63" s="118"/>
      <c r="K63" s="118"/>
      <c r="L63" s="122" t="s">
        <v>417</v>
      </c>
      <c r="M63" s="192">
        <f t="shared" si="249"/>
        <v>75</v>
      </c>
      <c r="N63" s="50">
        <f t="shared" si="250"/>
        <v>15</v>
      </c>
      <c r="O63" s="51">
        <f t="shared" si="251"/>
        <v>60</v>
      </c>
      <c r="P63" s="415">
        <f t="shared" si="252"/>
        <v>60</v>
      </c>
      <c r="Q63" s="52">
        <f t="shared" si="253"/>
        <v>3</v>
      </c>
      <c r="R63" s="76">
        <f t="shared" si="254"/>
        <v>0</v>
      </c>
      <c r="S63" s="76">
        <f t="shared" si="255"/>
        <v>2.5</v>
      </c>
      <c r="T63" s="39">
        <f t="shared" si="256"/>
        <v>0.5</v>
      </c>
      <c r="U63" s="77">
        <f t="shared" si="257"/>
        <v>2.4</v>
      </c>
      <c r="V63" s="201" t="s">
        <v>56</v>
      </c>
      <c r="W63" s="43" t="s">
        <v>99</v>
      </c>
      <c r="X63" s="202">
        <v>3</v>
      </c>
      <c r="Y63" s="41">
        <f t="shared" ref="Y63" si="270">AS63+Z63</f>
        <v>75</v>
      </c>
      <c r="Z63" s="42">
        <f t="shared" ref="Z63" si="271">AR63+AA63</f>
        <v>60</v>
      </c>
      <c r="AA63" s="422">
        <f t="shared" ref="AA63" si="272">(SUM(AB63:AQ63))-AC63</f>
        <v>60</v>
      </c>
      <c r="AB63" s="265">
        <v>10</v>
      </c>
      <c r="AC63" s="277">
        <v>10</v>
      </c>
      <c r="AD63" s="265"/>
      <c r="AE63" s="886">
        <v>50</v>
      </c>
      <c r="AG63" s="265"/>
      <c r="AH63" s="265"/>
      <c r="AI63" s="265"/>
      <c r="AJ63" s="265"/>
      <c r="AK63" s="265"/>
      <c r="AL63" s="265"/>
      <c r="AM63" s="265"/>
      <c r="AN63" s="265"/>
      <c r="AO63" s="265"/>
      <c r="AP63" s="265"/>
      <c r="AQ63" s="265"/>
      <c r="AR63" s="278"/>
      <c r="AS63" s="675">
        <v>15</v>
      </c>
      <c r="AT63" s="55"/>
      <c r="AU63" s="202"/>
      <c r="AV63" s="49">
        <f t="shared" si="261"/>
        <v>0</v>
      </c>
      <c r="AW63" s="54">
        <f t="shared" si="262"/>
        <v>0</v>
      </c>
      <c r="AX63" s="427">
        <f t="shared" si="263"/>
        <v>0</v>
      </c>
      <c r="AY63" s="265"/>
      <c r="AZ63" s="277"/>
      <c r="BA63" s="265"/>
      <c r="BB63" s="265"/>
      <c r="BC63" s="265"/>
      <c r="BD63" s="265"/>
      <c r="BE63" s="265"/>
      <c r="BF63" s="265"/>
      <c r="BG63" s="265"/>
      <c r="BH63" s="265"/>
      <c r="BI63" s="265"/>
      <c r="BJ63" s="265"/>
      <c r="BK63" s="265"/>
      <c r="BL63" s="265"/>
      <c r="BM63" s="265"/>
      <c r="BN63" s="265"/>
      <c r="BO63" s="278"/>
      <c r="BP63" s="279"/>
      <c r="BQ63" s="142">
        <f t="shared" si="264"/>
        <v>25</v>
      </c>
      <c r="BR63" s="212" t="str">
        <f t="shared" si="265"/>
        <v>Wartość prawidłowa</v>
      </c>
      <c r="BS63" s="926">
        <f t="shared" si="53"/>
        <v>50</v>
      </c>
      <c r="BT63" s="118">
        <f t="shared" si="54"/>
        <v>10</v>
      </c>
      <c r="BU63" s="118">
        <f t="shared" si="55"/>
        <v>0</v>
      </c>
      <c r="BV63" s="118">
        <f t="shared" si="56"/>
        <v>0</v>
      </c>
      <c r="BW63" s="118">
        <f t="shared" si="57"/>
        <v>15</v>
      </c>
      <c r="BX63" s="209">
        <f t="shared" si="58"/>
        <v>0</v>
      </c>
      <c r="BY63" s="927">
        <f t="shared" si="59"/>
        <v>75</v>
      </c>
      <c r="BZ63" s="928">
        <f t="shared" si="60"/>
        <v>2</v>
      </c>
      <c r="CA63" s="929">
        <f t="shared" si="61"/>
        <v>0.4</v>
      </c>
      <c r="CB63" s="929">
        <f t="shared" si="62"/>
        <v>0</v>
      </c>
      <c r="CC63" s="929">
        <f t="shared" si="63"/>
        <v>0</v>
      </c>
      <c r="CD63" s="929">
        <f t="shared" si="64"/>
        <v>0.6</v>
      </c>
      <c r="CE63" s="949">
        <f t="shared" si="65"/>
        <v>0</v>
      </c>
      <c r="CF63" s="963">
        <f t="shared" si="66"/>
        <v>3</v>
      </c>
      <c r="CG63" s="957">
        <f t="shared" si="266"/>
        <v>60</v>
      </c>
      <c r="CH63" s="209">
        <f t="shared" si="267"/>
        <v>10</v>
      </c>
      <c r="CI63" s="930">
        <f t="shared" si="268"/>
        <v>2.4</v>
      </c>
      <c r="CJ63" s="998">
        <f t="shared" si="269"/>
        <v>0.4</v>
      </c>
      <c r="CK63" s="1000">
        <f>Matryca!Q63</f>
        <v>2</v>
      </c>
      <c r="CL63" s="1001">
        <f>Matryca!R63</f>
        <v>4</v>
      </c>
      <c r="CM63" s="1002">
        <f>Matryca!S63</f>
        <v>2</v>
      </c>
    </row>
    <row r="64" spans="1:91" s="44" customFormat="1" ht="30" customHeight="1" x14ac:dyDescent="0.25">
      <c r="A64" s="45">
        <v>43</v>
      </c>
      <c r="B64" s="47"/>
      <c r="C64" s="46" t="s">
        <v>107</v>
      </c>
      <c r="D64" s="46"/>
      <c r="E64" s="47">
        <v>3</v>
      </c>
      <c r="F64" s="46" t="s">
        <v>469</v>
      </c>
      <c r="G64" s="46" t="s">
        <v>59</v>
      </c>
      <c r="H64" s="48"/>
      <c r="I64" s="118" t="s">
        <v>454</v>
      </c>
      <c r="J64" s="118"/>
      <c r="K64" s="118"/>
      <c r="L64" s="122" t="s">
        <v>417</v>
      </c>
      <c r="M64" s="192">
        <f t="shared" si="249"/>
        <v>100</v>
      </c>
      <c r="N64" s="50">
        <f t="shared" si="250"/>
        <v>55</v>
      </c>
      <c r="O64" s="51">
        <f t="shared" si="251"/>
        <v>45</v>
      </c>
      <c r="P64" s="415">
        <f t="shared" si="252"/>
        <v>45</v>
      </c>
      <c r="Q64" s="52">
        <f t="shared" si="253"/>
        <v>4</v>
      </c>
      <c r="R64" s="76">
        <f t="shared" si="254"/>
        <v>0</v>
      </c>
      <c r="S64" s="76">
        <f t="shared" si="255"/>
        <v>3.5555555555555554</v>
      </c>
      <c r="T64" s="39">
        <f t="shared" si="256"/>
        <v>0.44444444444444442</v>
      </c>
      <c r="U64" s="77">
        <f t="shared" si="257"/>
        <v>1.8</v>
      </c>
      <c r="V64" s="201" t="s">
        <v>99</v>
      </c>
      <c r="W64" s="55"/>
      <c r="X64" s="155"/>
      <c r="Y64" s="53">
        <f t="shared" si="258"/>
        <v>0</v>
      </c>
      <c r="Z64" s="54">
        <f t="shared" si="259"/>
        <v>0</v>
      </c>
      <c r="AA64" s="419">
        <f t="shared" si="260"/>
        <v>0</v>
      </c>
      <c r="AB64" s="674"/>
      <c r="AC64" s="277"/>
      <c r="AD64" s="265"/>
      <c r="AE64" s="265"/>
      <c r="AF64" s="265"/>
      <c r="AG64" s="265"/>
      <c r="AH64" s="265"/>
      <c r="AI64" s="265"/>
      <c r="AJ64" s="265"/>
      <c r="AK64" s="265"/>
      <c r="AL64" s="265"/>
      <c r="AM64" s="265"/>
      <c r="AN64" s="265"/>
      <c r="AO64" s="265"/>
      <c r="AP64" s="265"/>
      <c r="AQ64" s="265"/>
      <c r="AR64" s="278"/>
      <c r="AS64" s="675"/>
      <c r="AT64" s="55" t="s">
        <v>99</v>
      </c>
      <c r="AU64" s="202">
        <v>4</v>
      </c>
      <c r="AV64" s="49">
        <f t="shared" si="261"/>
        <v>100</v>
      </c>
      <c r="AW64" s="54">
        <f t="shared" si="262"/>
        <v>45</v>
      </c>
      <c r="AX64" s="427">
        <f t="shared" si="263"/>
        <v>45</v>
      </c>
      <c r="AY64" s="265">
        <v>5</v>
      </c>
      <c r="AZ64" s="277">
        <v>5</v>
      </c>
      <c r="BA64" s="265"/>
      <c r="BB64" s="265">
        <v>10</v>
      </c>
      <c r="BD64" s="265"/>
      <c r="BE64" s="265"/>
      <c r="BF64" s="265"/>
      <c r="BG64" s="265"/>
      <c r="BH64" s="886">
        <v>30</v>
      </c>
      <c r="BI64" s="265"/>
      <c r="BJ64" s="265"/>
      <c r="BK64" s="265"/>
      <c r="BL64" s="265"/>
      <c r="BM64" s="265"/>
      <c r="BN64" s="265"/>
      <c r="BO64" s="278"/>
      <c r="BP64" s="279">
        <v>55</v>
      </c>
      <c r="BQ64" s="142">
        <f t="shared" si="264"/>
        <v>25</v>
      </c>
      <c r="BR64" s="212" t="str">
        <f t="shared" si="265"/>
        <v>Wartość prawidłowa</v>
      </c>
      <c r="BS64" s="926">
        <f t="shared" si="53"/>
        <v>40</v>
      </c>
      <c r="BT64" s="118">
        <f t="shared" si="54"/>
        <v>5</v>
      </c>
      <c r="BU64" s="118">
        <f t="shared" si="55"/>
        <v>0</v>
      </c>
      <c r="BV64" s="118">
        <f t="shared" si="56"/>
        <v>0</v>
      </c>
      <c r="BW64" s="118">
        <f t="shared" si="57"/>
        <v>55</v>
      </c>
      <c r="BX64" s="209">
        <f t="shared" si="58"/>
        <v>0</v>
      </c>
      <c r="BY64" s="927">
        <f t="shared" si="59"/>
        <v>100</v>
      </c>
      <c r="BZ64" s="928">
        <f t="shared" si="60"/>
        <v>1.6</v>
      </c>
      <c r="CA64" s="929">
        <f t="shared" si="61"/>
        <v>0.2</v>
      </c>
      <c r="CB64" s="929">
        <f t="shared" si="62"/>
        <v>0</v>
      </c>
      <c r="CC64" s="929">
        <f t="shared" si="63"/>
        <v>0</v>
      </c>
      <c r="CD64" s="929">
        <f t="shared" si="64"/>
        <v>2.2000000000000002</v>
      </c>
      <c r="CE64" s="949">
        <f t="shared" si="65"/>
        <v>0</v>
      </c>
      <c r="CF64" s="963">
        <f t="shared" si="66"/>
        <v>4</v>
      </c>
      <c r="CG64" s="957">
        <f t="shared" si="266"/>
        <v>45</v>
      </c>
      <c r="CH64" s="209">
        <f t="shared" si="267"/>
        <v>5</v>
      </c>
      <c r="CI64" s="930">
        <f t="shared" si="268"/>
        <v>1.8</v>
      </c>
      <c r="CJ64" s="998">
        <f t="shared" si="269"/>
        <v>0.2</v>
      </c>
      <c r="CK64" s="1000">
        <f>Matryca!Q64</f>
        <v>1</v>
      </c>
      <c r="CL64" s="1001">
        <f>Matryca!R64</f>
        <v>4</v>
      </c>
      <c r="CM64" s="1002">
        <f>Matryca!S64</f>
        <v>1</v>
      </c>
    </row>
    <row r="65" spans="1:91" s="44" customFormat="1" ht="44.25" customHeight="1" x14ac:dyDescent="0.25">
      <c r="A65" s="45">
        <v>44</v>
      </c>
      <c r="B65" s="47"/>
      <c r="C65" s="46" t="s">
        <v>107</v>
      </c>
      <c r="D65" s="46"/>
      <c r="E65" s="47">
        <v>3</v>
      </c>
      <c r="F65" s="46" t="s">
        <v>469</v>
      </c>
      <c r="G65" s="46" t="s">
        <v>59</v>
      </c>
      <c r="H65" s="118"/>
      <c r="I65" s="598" t="s">
        <v>680</v>
      </c>
      <c r="J65" s="118"/>
      <c r="K65" s="118"/>
      <c r="L65" s="122" t="s">
        <v>417</v>
      </c>
      <c r="M65" s="192">
        <f t="shared" si="249"/>
        <v>160</v>
      </c>
      <c r="N65" s="50">
        <f t="shared" si="250"/>
        <v>0</v>
      </c>
      <c r="O65" s="54">
        <f t="shared" si="251"/>
        <v>160</v>
      </c>
      <c r="P65" s="424">
        <f t="shared" si="252"/>
        <v>160</v>
      </c>
      <c r="Q65" s="52">
        <f t="shared" si="253"/>
        <v>6</v>
      </c>
      <c r="R65" s="76">
        <f t="shared" si="254"/>
        <v>0</v>
      </c>
      <c r="S65" s="76">
        <f t="shared" si="255"/>
        <v>6</v>
      </c>
      <c r="T65" s="39">
        <f t="shared" si="256"/>
        <v>0</v>
      </c>
      <c r="U65" s="187">
        <f t="shared" si="257"/>
        <v>6</v>
      </c>
      <c r="V65" s="201" t="s">
        <v>99</v>
      </c>
      <c r="W65" s="55" t="s">
        <v>99</v>
      </c>
      <c r="X65" s="155">
        <v>6</v>
      </c>
      <c r="Y65" s="53">
        <f t="shared" si="258"/>
        <v>160</v>
      </c>
      <c r="Z65" s="54">
        <f t="shared" si="259"/>
        <v>160</v>
      </c>
      <c r="AA65" s="419">
        <f t="shared" si="260"/>
        <v>160</v>
      </c>
      <c r="AB65" s="674"/>
      <c r="AC65" s="286"/>
      <c r="AD65" s="265"/>
      <c r="AE65" s="265"/>
      <c r="AF65" s="265"/>
      <c r="AG65" s="265"/>
      <c r="AH65" s="265"/>
      <c r="AI65" s="265"/>
      <c r="AJ65" s="265"/>
      <c r="AK65" s="265"/>
      <c r="AL65" s="265"/>
      <c r="AM65" s="265"/>
      <c r="AN65" s="265"/>
      <c r="AO65" s="265"/>
      <c r="AP65" s="265"/>
      <c r="AQ65" s="265">
        <v>160</v>
      </c>
      <c r="AR65" s="278"/>
      <c r="AS65" s="675"/>
      <c r="AT65" s="55"/>
      <c r="AU65" s="155"/>
      <c r="AV65" s="49">
        <f t="shared" si="261"/>
        <v>0</v>
      </c>
      <c r="AW65" s="54">
        <f t="shared" si="262"/>
        <v>0</v>
      </c>
      <c r="AX65" s="424">
        <f t="shared" si="263"/>
        <v>0</v>
      </c>
      <c r="AY65" s="265"/>
      <c r="AZ65" s="286"/>
      <c r="BA65" s="265"/>
      <c r="BB65" s="265"/>
      <c r="BC65" s="265"/>
      <c r="BD65" s="265"/>
      <c r="BE65" s="265"/>
      <c r="BF65" s="265"/>
      <c r="BG65" s="265"/>
      <c r="BH65" s="265"/>
      <c r="BI65" s="265"/>
      <c r="BJ65" s="265"/>
      <c r="BK65" s="265"/>
      <c r="BL65" s="265"/>
      <c r="BM65" s="265"/>
      <c r="BN65" s="265"/>
      <c r="BO65" s="278"/>
      <c r="BP65" s="279"/>
      <c r="BQ65" s="142">
        <f t="shared" si="264"/>
        <v>26.666666666666668</v>
      </c>
      <c r="BR65" s="209" t="str">
        <f t="shared" si="265"/>
        <v>Wartość prawidłowa</v>
      </c>
      <c r="BS65" s="926">
        <f t="shared" si="53"/>
        <v>0</v>
      </c>
      <c r="BT65" s="118">
        <f t="shared" si="54"/>
        <v>0</v>
      </c>
      <c r="BU65" s="118">
        <f t="shared" si="55"/>
        <v>0</v>
      </c>
      <c r="BV65" s="118">
        <f t="shared" si="56"/>
        <v>0</v>
      </c>
      <c r="BW65" s="118">
        <f t="shared" si="57"/>
        <v>0</v>
      </c>
      <c r="BX65" s="209">
        <f t="shared" si="58"/>
        <v>160</v>
      </c>
      <c r="BY65" s="927">
        <f t="shared" si="59"/>
        <v>160</v>
      </c>
      <c r="BZ65" s="928">
        <f t="shared" si="60"/>
        <v>0</v>
      </c>
      <c r="CA65" s="929">
        <f t="shared" si="61"/>
        <v>0</v>
      </c>
      <c r="CB65" s="929">
        <f t="shared" si="62"/>
        <v>0</v>
      </c>
      <c r="CC65" s="929">
        <f t="shared" si="63"/>
        <v>0</v>
      </c>
      <c r="CD65" s="929">
        <f t="shared" si="64"/>
        <v>0</v>
      </c>
      <c r="CE65" s="949">
        <f t="shared" si="65"/>
        <v>6</v>
      </c>
      <c r="CF65" s="963">
        <f t="shared" si="66"/>
        <v>6</v>
      </c>
      <c r="CG65" s="957">
        <f t="shared" si="266"/>
        <v>160</v>
      </c>
      <c r="CH65" s="209">
        <f t="shared" si="267"/>
        <v>0</v>
      </c>
      <c r="CI65" s="930">
        <f t="shared" si="268"/>
        <v>6</v>
      </c>
      <c r="CJ65" s="998">
        <f t="shared" si="269"/>
        <v>0</v>
      </c>
      <c r="CK65" s="1000">
        <f>Matryca!Q65</f>
        <v>0</v>
      </c>
      <c r="CL65" s="1001">
        <f>Matryca!R65</f>
        <v>10</v>
      </c>
      <c r="CM65" s="1002">
        <f>Matryca!S65</f>
        <v>1</v>
      </c>
    </row>
    <row r="66" spans="1:91" s="44" customFormat="1" ht="45" customHeight="1" x14ac:dyDescent="0.25">
      <c r="A66" s="45">
        <v>45</v>
      </c>
      <c r="B66" s="47"/>
      <c r="C66" s="46" t="s">
        <v>107</v>
      </c>
      <c r="D66" s="46"/>
      <c r="E66" s="47">
        <v>3</v>
      </c>
      <c r="F66" s="46" t="s">
        <v>469</v>
      </c>
      <c r="G66" s="46" t="s">
        <v>59</v>
      </c>
      <c r="H66" s="118"/>
      <c r="I66" s="598" t="s">
        <v>681</v>
      </c>
      <c r="J66" s="118"/>
      <c r="K66" s="118"/>
      <c r="L66" s="122" t="s">
        <v>417</v>
      </c>
      <c r="M66" s="192">
        <f t="shared" ref="M66" si="273">Y66+AV66</f>
        <v>160</v>
      </c>
      <c r="N66" s="50">
        <f t="shared" ref="N66" si="274">AS66+BP66</f>
        <v>0</v>
      </c>
      <c r="O66" s="54">
        <f t="shared" ref="O66" si="275">Z66+AW66</f>
        <v>160</v>
      </c>
      <c r="P66" s="424">
        <f t="shared" ref="P66" si="276">AA66+AX66</f>
        <v>160</v>
      </c>
      <c r="Q66" s="52">
        <f t="shared" si="253"/>
        <v>6</v>
      </c>
      <c r="R66" s="76">
        <f t="shared" ref="R66" si="277">IFERROR((AL66+BI66)*Q66/O66," ")</f>
        <v>0</v>
      </c>
      <c r="S66" s="76">
        <f t="shared" si="255"/>
        <v>6</v>
      </c>
      <c r="T66" s="39">
        <f t="shared" ref="T66" si="278">IFERROR((AC66+AO66+AZ66+BL66)*Q66/O66," ")</f>
        <v>0</v>
      </c>
      <c r="U66" s="187">
        <f t="shared" si="257"/>
        <v>6</v>
      </c>
      <c r="V66" s="201" t="s">
        <v>99</v>
      </c>
      <c r="W66" s="55"/>
      <c r="X66" s="155"/>
      <c r="Y66" s="53">
        <f t="shared" ref="Y66" si="279">AS66+Z66</f>
        <v>0</v>
      </c>
      <c r="Z66" s="54">
        <f t="shared" ref="Z66" si="280">AR66+AA66</f>
        <v>0</v>
      </c>
      <c r="AA66" s="419">
        <f t="shared" ref="AA66" si="281">(SUM(AB66:AQ66))-AC66</f>
        <v>0</v>
      </c>
      <c r="AB66" s="674"/>
      <c r="AC66" s="286"/>
      <c r="AD66" s="265"/>
      <c r="AE66" s="265"/>
      <c r="AF66" s="265"/>
      <c r="AG66" s="265"/>
      <c r="AH66" s="265"/>
      <c r="AI66" s="265"/>
      <c r="AJ66" s="265"/>
      <c r="AK66" s="265"/>
      <c r="AL66" s="265"/>
      <c r="AM66" s="265"/>
      <c r="AN66" s="265"/>
      <c r="AO66" s="265"/>
      <c r="AP66" s="265"/>
      <c r="AQ66" s="265"/>
      <c r="AR66" s="278"/>
      <c r="AS66" s="675"/>
      <c r="AT66" s="55" t="s">
        <v>99</v>
      </c>
      <c r="AU66" s="155">
        <v>6</v>
      </c>
      <c r="AV66" s="49">
        <f t="shared" ref="AV66" si="282">BP66+AW66</f>
        <v>160</v>
      </c>
      <c r="AW66" s="54">
        <f t="shared" ref="AW66" si="283">BO66+AX66</f>
        <v>160</v>
      </c>
      <c r="AX66" s="424">
        <f t="shared" ref="AX66" si="284">(SUM(AY66:BN66))-AZ66</f>
        <v>160</v>
      </c>
      <c r="AY66" s="265"/>
      <c r="AZ66" s="286"/>
      <c r="BA66" s="265"/>
      <c r="BB66" s="265"/>
      <c r="BC66" s="265"/>
      <c r="BD66" s="265"/>
      <c r="BE66" s="265"/>
      <c r="BF66" s="265"/>
      <c r="BG66" s="265"/>
      <c r="BH66" s="265"/>
      <c r="BI66" s="265"/>
      <c r="BJ66" s="265"/>
      <c r="BK66" s="265"/>
      <c r="BL66" s="265"/>
      <c r="BM66" s="265"/>
      <c r="BN66" s="265">
        <v>160</v>
      </c>
      <c r="BO66" s="278"/>
      <c r="BP66" s="279"/>
      <c r="BQ66" s="142">
        <f t="shared" ref="BQ66" si="285">IFERROR(M66/Q66," ")</f>
        <v>26.666666666666668</v>
      </c>
      <c r="BR66" s="209" t="str">
        <f t="shared" ref="BR66" si="286">IF(OR(BQ66&gt;30,BQ66&lt;25),"1 ECTS powinien mieścić się przedziale 25-30h","Wartość prawidłowa")</f>
        <v>Wartość prawidłowa</v>
      </c>
      <c r="BS66" s="926">
        <f t="shared" si="53"/>
        <v>0</v>
      </c>
      <c r="BT66" s="118">
        <f t="shared" si="54"/>
        <v>0</v>
      </c>
      <c r="BU66" s="118">
        <f t="shared" si="55"/>
        <v>0</v>
      </c>
      <c r="BV66" s="118">
        <f t="shared" si="56"/>
        <v>0</v>
      </c>
      <c r="BW66" s="118">
        <f t="shared" si="57"/>
        <v>0</v>
      </c>
      <c r="BX66" s="209">
        <f t="shared" si="58"/>
        <v>160</v>
      </c>
      <c r="BY66" s="927">
        <f t="shared" si="59"/>
        <v>160</v>
      </c>
      <c r="BZ66" s="928">
        <f t="shared" si="60"/>
        <v>0</v>
      </c>
      <c r="CA66" s="929">
        <f t="shared" si="61"/>
        <v>0</v>
      </c>
      <c r="CB66" s="929">
        <f t="shared" si="62"/>
        <v>0</v>
      </c>
      <c r="CC66" s="929">
        <f t="shared" si="63"/>
        <v>0</v>
      </c>
      <c r="CD66" s="929">
        <f t="shared" si="64"/>
        <v>0</v>
      </c>
      <c r="CE66" s="949">
        <f t="shared" si="65"/>
        <v>6</v>
      </c>
      <c r="CF66" s="963">
        <f t="shared" si="66"/>
        <v>6</v>
      </c>
      <c r="CG66" s="957">
        <f t="shared" si="266"/>
        <v>160</v>
      </c>
      <c r="CH66" s="209">
        <f t="shared" si="267"/>
        <v>0</v>
      </c>
      <c r="CI66" s="930">
        <f t="shared" si="268"/>
        <v>6</v>
      </c>
      <c r="CJ66" s="998">
        <f t="shared" si="269"/>
        <v>0</v>
      </c>
      <c r="CK66" s="1000">
        <f>Matryca!Q66</f>
        <v>0</v>
      </c>
      <c r="CL66" s="1001">
        <f>Matryca!R66</f>
        <v>11</v>
      </c>
      <c r="CM66" s="1002">
        <f>Matryca!S66</f>
        <v>1</v>
      </c>
    </row>
    <row r="67" spans="1:91" s="44" customFormat="1" ht="50.25" customHeight="1" x14ac:dyDescent="0.25">
      <c r="A67" s="45">
        <v>46</v>
      </c>
      <c r="B67" s="47"/>
      <c r="C67" s="46" t="s">
        <v>107</v>
      </c>
      <c r="D67" s="46"/>
      <c r="E67" s="47">
        <v>3</v>
      </c>
      <c r="F67" s="46" t="s">
        <v>469</v>
      </c>
      <c r="G67" s="46" t="s">
        <v>60</v>
      </c>
      <c r="H67" s="118"/>
      <c r="I67" s="1084" t="s">
        <v>951</v>
      </c>
      <c r="J67" s="118"/>
      <c r="K67" s="118"/>
      <c r="L67" s="122" t="s">
        <v>417</v>
      </c>
      <c r="M67" s="192">
        <f t="shared" si="249"/>
        <v>50</v>
      </c>
      <c r="N67" s="50">
        <f t="shared" si="250"/>
        <v>40</v>
      </c>
      <c r="O67" s="54">
        <f t="shared" si="251"/>
        <v>10</v>
      </c>
      <c r="P67" s="424">
        <f t="shared" si="252"/>
        <v>10</v>
      </c>
      <c r="Q67" s="52">
        <f t="shared" si="253"/>
        <v>2</v>
      </c>
      <c r="R67" s="76">
        <f t="shared" si="254"/>
        <v>0</v>
      </c>
      <c r="S67" s="76">
        <f t="shared" si="255"/>
        <v>2</v>
      </c>
      <c r="T67" s="39">
        <f t="shared" si="256"/>
        <v>0</v>
      </c>
      <c r="U67" s="187">
        <f t="shared" si="257"/>
        <v>0.4</v>
      </c>
      <c r="V67" s="201" t="s">
        <v>99</v>
      </c>
      <c r="W67" s="55"/>
      <c r="X67" s="155"/>
      <c r="Y67" s="53">
        <f t="shared" si="258"/>
        <v>0</v>
      </c>
      <c r="Z67" s="54">
        <f t="shared" si="259"/>
        <v>0</v>
      </c>
      <c r="AA67" s="419">
        <f t="shared" si="260"/>
        <v>0</v>
      </c>
      <c r="AB67" s="674"/>
      <c r="AC67" s="286"/>
      <c r="AD67" s="265"/>
      <c r="AE67" s="265"/>
      <c r="AF67" s="265"/>
      <c r="AG67" s="265"/>
      <c r="AH67" s="265"/>
      <c r="AI67" s="265"/>
      <c r="AJ67" s="265"/>
      <c r="AK67" s="265"/>
      <c r="AL67" s="265"/>
      <c r="AM67" s="265"/>
      <c r="AN67" s="265"/>
      <c r="AO67" s="265"/>
      <c r="AP67" s="265"/>
      <c r="AQ67" s="265"/>
      <c r="AR67" s="278"/>
      <c r="AS67" s="675"/>
      <c r="AT67" s="55" t="s">
        <v>99</v>
      </c>
      <c r="AU67" s="155">
        <v>2</v>
      </c>
      <c r="AV67" s="49">
        <f t="shared" si="261"/>
        <v>50</v>
      </c>
      <c r="AW67" s="54">
        <f t="shared" si="262"/>
        <v>10</v>
      </c>
      <c r="AX67" s="424">
        <f t="shared" si="263"/>
        <v>10</v>
      </c>
      <c r="AY67" s="265"/>
      <c r="AZ67" s="286"/>
      <c r="BA67" s="265"/>
      <c r="BB67" s="265"/>
      <c r="BC67" s="265">
        <v>10</v>
      </c>
      <c r="BD67" s="265"/>
      <c r="BE67" s="265"/>
      <c r="BF67" s="265"/>
      <c r="BG67" s="265"/>
      <c r="BH67" s="265"/>
      <c r="BI67" s="265"/>
      <c r="BJ67" s="265"/>
      <c r="BK67" s="265"/>
      <c r="BL67" s="265"/>
      <c r="BM67" s="265"/>
      <c r="BN67" s="265"/>
      <c r="BO67" s="278"/>
      <c r="BP67" s="279">
        <v>40</v>
      </c>
      <c r="BQ67" s="142">
        <f t="shared" si="264"/>
        <v>25</v>
      </c>
      <c r="BR67" s="209" t="str">
        <f t="shared" si="265"/>
        <v>Wartość prawidłowa</v>
      </c>
      <c r="BS67" s="926">
        <f t="shared" si="53"/>
        <v>10</v>
      </c>
      <c r="BT67" s="118">
        <f t="shared" si="54"/>
        <v>0</v>
      </c>
      <c r="BU67" s="118">
        <f t="shared" si="55"/>
        <v>0</v>
      </c>
      <c r="BV67" s="118">
        <f t="shared" si="56"/>
        <v>0</v>
      </c>
      <c r="BW67" s="118">
        <f t="shared" si="57"/>
        <v>40</v>
      </c>
      <c r="BX67" s="209">
        <f t="shared" si="58"/>
        <v>0</v>
      </c>
      <c r="BY67" s="927">
        <f t="shared" si="59"/>
        <v>50</v>
      </c>
      <c r="BZ67" s="928">
        <f t="shared" si="60"/>
        <v>0.4</v>
      </c>
      <c r="CA67" s="929">
        <f t="shared" si="61"/>
        <v>0</v>
      </c>
      <c r="CB67" s="929">
        <f t="shared" si="62"/>
        <v>0</v>
      </c>
      <c r="CC67" s="929">
        <f t="shared" si="63"/>
        <v>0</v>
      </c>
      <c r="CD67" s="929">
        <f t="shared" si="64"/>
        <v>1.6</v>
      </c>
      <c r="CE67" s="949">
        <f t="shared" si="65"/>
        <v>0</v>
      </c>
      <c r="CF67" s="963">
        <f t="shared" si="66"/>
        <v>2</v>
      </c>
      <c r="CG67" s="957">
        <f t="shared" si="266"/>
        <v>10</v>
      </c>
      <c r="CH67" s="209">
        <f t="shared" si="267"/>
        <v>0</v>
      </c>
      <c r="CI67" s="930">
        <f t="shared" si="268"/>
        <v>0.4</v>
      </c>
      <c r="CJ67" s="998">
        <f t="shared" si="269"/>
        <v>0</v>
      </c>
      <c r="CK67" s="1000">
        <f>Matryca!Q67</f>
        <v>2</v>
      </c>
      <c r="CL67" s="1001">
        <f>Matryca!R67</f>
        <v>5</v>
      </c>
      <c r="CM67" s="1002">
        <f>Matryca!S67</f>
        <v>2</v>
      </c>
    </row>
    <row r="68" spans="1:91" s="44" customFormat="1" ht="56.25" customHeight="1" x14ac:dyDescent="0.25">
      <c r="A68" s="45">
        <v>47</v>
      </c>
      <c r="B68" s="47"/>
      <c r="C68" s="46" t="s">
        <v>107</v>
      </c>
      <c r="D68" s="46"/>
      <c r="E68" s="47">
        <v>3</v>
      </c>
      <c r="F68" s="46" t="s">
        <v>469</v>
      </c>
      <c r="G68" s="46" t="s">
        <v>60</v>
      </c>
      <c r="H68" s="118"/>
      <c r="I68" s="439" t="s">
        <v>655</v>
      </c>
      <c r="J68" s="118"/>
      <c r="K68" s="118"/>
      <c r="L68" s="122" t="s">
        <v>417</v>
      </c>
      <c r="M68" s="192">
        <f t="shared" si="249"/>
        <v>50</v>
      </c>
      <c r="N68" s="50">
        <f t="shared" si="250"/>
        <v>10</v>
      </c>
      <c r="O68" s="54">
        <f t="shared" si="251"/>
        <v>40</v>
      </c>
      <c r="P68" s="424">
        <f t="shared" si="252"/>
        <v>40</v>
      </c>
      <c r="Q68" s="52">
        <f t="shared" si="253"/>
        <v>2</v>
      </c>
      <c r="R68" s="76">
        <f t="shared" si="254"/>
        <v>0</v>
      </c>
      <c r="S68" s="76">
        <f t="shared" si="255"/>
        <v>2</v>
      </c>
      <c r="T68" s="39">
        <f t="shared" si="256"/>
        <v>0</v>
      </c>
      <c r="U68" s="187">
        <f t="shared" si="257"/>
        <v>1.6</v>
      </c>
      <c r="V68" s="201" t="s">
        <v>99</v>
      </c>
      <c r="W68" s="55" t="s">
        <v>99</v>
      </c>
      <c r="X68" s="155">
        <v>2</v>
      </c>
      <c r="Y68" s="53">
        <f t="shared" si="258"/>
        <v>50</v>
      </c>
      <c r="Z68" s="54">
        <f t="shared" si="259"/>
        <v>40</v>
      </c>
      <c r="AA68" s="419">
        <f t="shared" si="260"/>
        <v>40</v>
      </c>
      <c r="AB68" s="674"/>
      <c r="AC68" s="286"/>
      <c r="AD68" s="265"/>
      <c r="AE68" s="265">
        <v>40</v>
      </c>
      <c r="AF68" s="265"/>
      <c r="AG68" s="265"/>
      <c r="AH68" s="265"/>
      <c r="AI68" s="265"/>
      <c r="AJ68" s="265"/>
      <c r="AK68" s="265"/>
      <c r="AL68" s="265"/>
      <c r="AM68" s="265"/>
      <c r="AN68" s="265"/>
      <c r="AO68" s="265"/>
      <c r="AP68" s="265"/>
      <c r="AQ68" s="265"/>
      <c r="AR68" s="278"/>
      <c r="AS68" s="675">
        <v>10</v>
      </c>
      <c r="AT68" s="55"/>
      <c r="AU68" s="155"/>
      <c r="AV68" s="49">
        <f t="shared" si="261"/>
        <v>0</v>
      </c>
      <c r="AW68" s="54">
        <f t="shared" si="262"/>
        <v>0</v>
      </c>
      <c r="AX68" s="424">
        <f t="shared" si="263"/>
        <v>0</v>
      </c>
      <c r="AY68" s="265"/>
      <c r="AZ68" s="286"/>
      <c r="BA68" s="265"/>
      <c r="BB68" s="265"/>
      <c r="BC68" s="265"/>
      <c r="BD68" s="265"/>
      <c r="BE68" s="265"/>
      <c r="BF68" s="265"/>
      <c r="BG68" s="265"/>
      <c r="BH68" s="265"/>
      <c r="BI68" s="265"/>
      <c r="BJ68" s="265"/>
      <c r="BK68" s="265"/>
      <c r="BL68" s="265"/>
      <c r="BM68" s="265"/>
      <c r="BN68" s="265"/>
      <c r="BO68" s="278"/>
      <c r="BP68" s="279"/>
      <c r="BQ68" s="142">
        <f t="shared" si="264"/>
        <v>25</v>
      </c>
      <c r="BR68" s="209" t="str">
        <f t="shared" si="265"/>
        <v>Wartość prawidłowa</v>
      </c>
      <c r="BS68" s="926">
        <f t="shared" si="53"/>
        <v>40</v>
      </c>
      <c r="BT68" s="118">
        <f t="shared" si="54"/>
        <v>0</v>
      </c>
      <c r="BU68" s="118">
        <f t="shared" si="55"/>
        <v>0</v>
      </c>
      <c r="BV68" s="118">
        <f t="shared" si="56"/>
        <v>0</v>
      </c>
      <c r="BW68" s="118">
        <f t="shared" si="57"/>
        <v>10</v>
      </c>
      <c r="BX68" s="209">
        <f t="shared" si="58"/>
        <v>0</v>
      </c>
      <c r="BY68" s="927">
        <f t="shared" si="59"/>
        <v>50</v>
      </c>
      <c r="BZ68" s="928">
        <f t="shared" si="60"/>
        <v>1.6</v>
      </c>
      <c r="CA68" s="929">
        <f t="shared" si="61"/>
        <v>0</v>
      </c>
      <c r="CB68" s="929">
        <f t="shared" si="62"/>
        <v>0</v>
      </c>
      <c r="CC68" s="929">
        <f t="shared" si="63"/>
        <v>0</v>
      </c>
      <c r="CD68" s="929">
        <f t="shared" si="64"/>
        <v>0.4</v>
      </c>
      <c r="CE68" s="949">
        <f t="shared" si="65"/>
        <v>0</v>
      </c>
      <c r="CF68" s="963">
        <f t="shared" si="66"/>
        <v>2</v>
      </c>
      <c r="CG68" s="957">
        <f t="shared" si="266"/>
        <v>40</v>
      </c>
      <c r="CH68" s="209">
        <f t="shared" si="267"/>
        <v>0</v>
      </c>
      <c r="CI68" s="930">
        <f t="shared" si="268"/>
        <v>1.6</v>
      </c>
      <c r="CJ68" s="998">
        <f t="shared" si="269"/>
        <v>0</v>
      </c>
      <c r="CK68" s="1000">
        <f>Matryca!Q68</f>
        <v>0</v>
      </c>
      <c r="CL68" s="1001">
        <f>Matryca!R68</f>
        <v>0</v>
      </c>
      <c r="CM68" s="1002">
        <f>Matryca!S68</f>
        <v>0</v>
      </c>
    </row>
    <row r="69" spans="1:91" s="44" customFormat="1" ht="87.75" customHeight="1" x14ac:dyDescent="0.25">
      <c r="A69" s="45">
        <v>48</v>
      </c>
      <c r="B69" s="31"/>
      <c r="C69" s="46" t="s">
        <v>107</v>
      </c>
      <c r="D69" s="46"/>
      <c r="E69" s="47">
        <v>3</v>
      </c>
      <c r="F69" s="46" t="s">
        <v>469</v>
      </c>
      <c r="G69" s="46" t="s">
        <v>60</v>
      </c>
      <c r="H69" s="33"/>
      <c r="I69" s="1106" t="s">
        <v>952</v>
      </c>
      <c r="J69" s="118"/>
      <c r="K69" s="118"/>
      <c r="L69" s="122" t="s">
        <v>418</v>
      </c>
      <c r="M69" s="192">
        <f>Y69+AV69</f>
        <v>50</v>
      </c>
      <c r="N69" s="50">
        <f>AS69+BP69</f>
        <v>10</v>
      </c>
      <c r="O69" s="51">
        <f>Z69+AW69</f>
        <v>40</v>
      </c>
      <c r="P69" s="415">
        <f>AA69+AX69</f>
        <v>40</v>
      </c>
      <c r="Q69" s="52">
        <f t="shared" si="253"/>
        <v>2</v>
      </c>
      <c r="R69" s="38">
        <f>IFERROR((AL69+BI69)*Q69/O69," ")</f>
        <v>0</v>
      </c>
      <c r="S69" s="76">
        <f t="shared" si="255"/>
        <v>0</v>
      </c>
      <c r="T69" s="39">
        <f>IFERROR((AC69+AO69+AZ69+BL69)*Q69/O69," ")</f>
        <v>0.5</v>
      </c>
      <c r="U69" s="40">
        <f t="shared" si="257"/>
        <v>1.6</v>
      </c>
      <c r="V69" s="201" t="s">
        <v>99</v>
      </c>
      <c r="W69" s="43"/>
      <c r="X69" s="155"/>
      <c r="Y69" s="53">
        <f>AS69+Z69</f>
        <v>0</v>
      </c>
      <c r="Z69" s="54">
        <f>AR69+AA69</f>
        <v>0</v>
      </c>
      <c r="AA69" s="419">
        <f>(SUM(AB69:AQ69))-AC69</f>
        <v>0</v>
      </c>
      <c r="AB69" s="260"/>
      <c r="AC69" s="671"/>
      <c r="AD69" s="265"/>
      <c r="AE69" s="265"/>
      <c r="AF69" s="265"/>
      <c r="AG69" s="265"/>
      <c r="AH69" s="265"/>
      <c r="AI69" s="265"/>
      <c r="AJ69" s="265"/>
      <c r="AK69" s="265"/>
      <c r="AL69" s="265"/>
      <c r="AM69" s="265"/>
      <c r="AN69" s="265"/>
      <c r="AO69" s="265"/>
      <c r="AP69" s="265"/>
      <c r="AQ69" s="265"/>
      <c r="AR69" s="278"/>
      <c r="AS69" s="675"/>
      <c r="AT69" s="43" t="s">
        <v>99</v>
      </c>
      <c r="AU69" s="202">
        <v>2</v>
      </c>
      <c r="AV69" s="49">
        <f>BP69+AW69</f>
        <v>50</v>
      </c>
      <c r="AW69" s="54">
        <f>BO69+AX69</f>
        <v>40</v>
      </c>
      <c r="AX69" s="424">
        <f>(SUM(AY69:BN69))-AZ69</f>
        <v>40</v>
      </c>
      <c r="AY69" s="260">
        <v>10</v>
      </c>
      <c r="AZ69" s="277">
        <v>10</v>
      </c>
      <c r="BA69" s="265"/>
      <c r="BB69" s="265">
        <v>30</v>
      </c>
      <c r="BC69" s="265"/>
      <c r="BD69" s="265"/>
      <c r="BE69" s="265"/>
      <c r="BF69" s="265"/>
      <c r="BG69" s="265"/>
      <c r="BH69" s="265"/>
      <c r="BI69" s="265"/>
      <c r="BJ69" s="265"/>
      <c r="BK69" s="265"/>
      <c r="BL69" s="265"/>
      <c r="BM69" s="265"/>
      <c r="BN69" s="265"/>
      <c r="BO69" s="278"/>
      <c r="BP69" s="279">
        <v>10</v>
      </c>
      <c r="BQ69" s="141">
        <f>IFERROR(M69/Q69," ")</f>
        <v>25</v>
      </c>
      <c r="BR69" s="209" t="str">
        <f>IF(OR(BQ69&gt;30,BQ69&lt;25),"1 ECTS powinien mieścić się przedziale 25-30h","Wartość prawidłowa")</f>
        <v>Wartość prawidłowa</v>
      </c>
      <c r="BS69" s="926">
        <f t="shared" si="53"/>
        <v>30</v>
      </c>
      <c r="BT69" s="118">
        <f t="shared" si="54"/>
        <v>10</v>
      </c>
      <c r="BU69" s="118">
        <f t="shared" si="55"/>
        <v>0</v>
      </c>
      <c r="BV69" s="118">
        <f t="shared" si="56"/>
        <v>0</v>
      </c>
      <c r="BW69" s="118">
        <f t="shared" si="57"/>
        <v>10</v>
      </c>
      <c r="BX69" s="209">
        <f t="shared" si="58"/>
        <v>0</v>
      </c>
      <c r="BY69" s="927">
        <f t="shared" si="59"/>
        <v>50</v>
      </c>
      <c r="BZ69" s="928">
        <f t="shared" si="60"/>
        <v>1.2</v>
      </c>
      <c r="CA69" s="929">
        <f t="shared" si="61"/>
        <v>0.4</v>
      </c>
      <c r="CB69" s="929">
        <f t="shared" si="62"/>
        <v>0</v>
      </c>
      <c r="CC69" s="929">
        <f t="shared" si="63"/>
        <v>0</v>
      </c>
      <c r="CD69" s="929">
        <f t="shared" si="64"/>
        <v>0.4</v>
      </c>
      <c r="CE69" s="949">
        <f t="shared" si="65"/>
        <v>0</v>
      </c>
      <c r="CF69" s="963">
        <f t="shared" si="66"/>
        <v>2</v>
      </c>
      <c r="CG69" s="957">
        <f t="shared" si="266"/>
        <v>40</v>
      </c>
      <c r="CH69" s="209">
        <f t="shared" si="267"/>
        <v>10</v>
      </c>
      <c r="CI69" s="930">
        <f t="shared" si="268"/>
        <v>1.6</v>
      </c>
      <c r="CJ69" s="998">
        <f t="shared" si="269"/>
        <v>0.4</v>
      </c>
      <c r="CK69" s="1000">
        <f>Matryca!Q69</f>
        <v>0</v>
      </c>
      <c r="CL69" s="1001">
        <f>Matryca!R69</f>
        <v>0</v>
      </c>
      <c r="CM69" s="1002">
        <f>Matryca!S69</f>
        <v>0</v>
      </c>
    </row>
    <row r="70" spans="1:91" s="44" customFormat="1" ht="30" customHeight="1" x14ac:dyDescent="0.25">
      <c r="A70" s="45">
        <v>49</v>
      </c>
      <c r="B70" s="47"/>
      <c r="C70" s="46" t="s">
        <v>107</v>
      </c>
      <c r="D70" s="46"/>
      <c r="E70" s="47">
        <v>3</v>
      </c>
      <c r="F70" s="46" t="s">
        <v>469</v>
      </c>
      <c r="G70" s="46" t="s">
        <v>59</v>
      </c>
      <c r="H70" s="118"/>
      <c r="I70" s="118" t="s">
        <v>465</v>
      </c>
      <c r="J70" s="118"/>
      <c r="K70" s="118"/>
      <c r="L70" s="122" t="s">
        <v>417</v>
      </c>
      <c r="M70" s="192">
        <f t="shared" si="249"/>
        <v>125</v>
      </c>
      <c r="N70" s="50">
        <f t="shared" si="250"/>
        <v>50</v>
      </c>
      <c r="O70" s="54">
        <f t="shared" si="251"/>
        <v>75</v>
      </c>
      <c r="P70" s="424">
        <f t="shared" si="252"/>
        <v>75</v>
      </c>
      <c r="Q70" s="52">
        <f t="shared" si="253"/>
        <v>5</v>
      </c>
      <c r="R70" s="76">
        <f t="shared" si="254"/>
        <v>0</v>
      </c>
      <c r="S70" s="76">
        <f t="shared" si="255"/>
        <v>4.333333333333333</v>
      </c>
      <c r="T70" s="39">
        <f t="shared" si="256"/>
        <v>0.66666666666666663</v>
      </c>
      <c r="U70" s="187">
        <f t="shared" si="257"/>
        <v>3</v>
      </c>
      <c r="V70" s="201" t="s">
        <v>56</v>
      </c>
      <c r="W70" s="55"/>
      <c r="X70" s="155"/>
      <c r="Y70" s="53">
        <f t="shared" si="258"/>
        <v>0</v>
      </c>
      <c r="Z70" s="54">
        <f t="shared" si="259"/>
        <v>0</v>
      </c>
      <c r="AA70" s="419">
        <f t="shared" si="260"/>
        <v>0</v>
      </c>
      <c r="AB70" s="674"/>
      <c r="AC70" s="286"/>
      <c r="AD70" s="265"/>
      <c r="AE70" s="265"/>
      <c r="AF70" s="265"/>
      <c r="AG70" s="265"/>
      <c r="AH70" s="265"/>
      <c r="AI70" s="265"/>
      <c r="AJ70" s="265"/>
      <c r="AK70" s="265"/>
      <c r="AL70" s="265"/>
      <c r="AM70" s="265"/>
      <c r="AN70" s="265"/>
      <c r="AO70" s="265"/>
      <c r="AP70" s="265"/>
      <c r="AQ70" s="265"/>
      <c r="AR70" s="278"/>
      <c r="AS70" s="675"/>
      <c r="AT70" s="55" t="s">
        <v>99</v>
      </c>
      <c r="AU70" s="155">
        <v>5</v>
      </c>
      <c r="AV70" s="49">
        <f t="shared" si="261"/>
        <v>125</v>
      </c>
      <c r="AW70" s="54">
        <f t="shared" si="262"/>
        <v>75</v>
      </c>
      <c r="AX70" s="424">
        <f t="shared" si="263"/>
        <v>75</v>
      </c>
      <c r="AY70" s="265">
        <v>10</v>
      </c>
      <c r="AZ70" s="286">
        <v>10</v>
      </c>
      <c r="BA70" s="265"/>
      <c r="BB70" s="265">
        <v>15</v>
      </c>
      <c r="BC70" s="265">
        <v>50</v>
      </c>
      <c r="BD70" s="265"/>
      <c r="BE70" s="265"/>
      <c r="BF70" s="265"/>
      <c r="BG70" s="265"/>
      <c r="BH70" s="265"/>
      <c r="BI70" s="265"/>
      <c r="BJ70" s="265"/>
      <c r="BK70" s="265"/>
      <c r="BL70" s="265"/>
      <c r="BM70" s="265"/>
      <c r="BN70" s="265"/>
      <c r="BO70" s="278"/>
      <c r="BP70" s="279">
        <v>50</v>
      </c>
      <c r="BQ70" s="142">
        <f t="shared" si="264"/>
        <v>25</v>
      </c>
      <c r="BR70" s="209" t="str">
        <f t="shared" si="265"/>
        <v>Wartość prawidłowa</v>
      </c>
      <c r="BS70" s="926">
        <f t="shared" si="53"/>
        <v>65</v>
      </c>
      <c r="BT70" s="118">
        <f t="shared" si="54"/>
        <v>10</v>
      </c>
      <c r="BU70" s="118">
        <f t="shared" si="55"/>
        <v>0</v>
      </c>
      <c r="BV70" s="118">
        <f t="shared" si="56"/>
        <v>0</v>
      </c>
      <c r="BW70" s="118">
        <f t="shared" si="57"/>
        <v>50</v>
      </c>
      <c r="BX70" s="209">
        <f t="shared" si="58"/>
        <v>0</v>
      </c>
      <c r="BY70" s="927">
        <f t="shared" si="59"/>
        <v>125</v>
      </c>
      <c r="BZ70" s="928">
        <f t="shared" si="60"/>
        <v>2.6</v>
      </c>
      <c r="CA70" s="929">
        <f t="shared" si="61"/>
        <v>0.4</v>
      </c>
      <c r="CB70" s="929">
        <f t="shared" si="62"/>
        <v>0</v>
      </c>
      <c r="CC70" s="929">
        <f t="shared" si="63"/>
        <v>0</v>
      </c>
      <c r="CD70" s="929">
        <f t="shared" si="64"/>
        <v>2</v>
      </c>
      <c r="CE70" s="949">
        <f t="shared" si="65"/>
        <v>0</v>
      </c>
      <c r="CF70" s="963">
        <f t="shared" si="66"/>
        <v>5</v>
      </c>
      <c r="CG70" s="957">
        <f t="shared" si="266"/>
        <v>75</v>
      </c>
      <c r="CH70" s="209">
        <f t="shared" si="267"/>
        <v>10</v>
      </c>
      <c r="CI70" s="930">
        <f t="shared" si="268"/>
        <v>3</v>
      </c>
      <c r="CJ70" s="998">
        <f t="shared" si="269"/>
        <v>0.4</v>
      </c>
      <c r="CK70" s="1000">
        <f>Matryca!Q70</f>
        <v>2</v>
      </c>
      <c r="CL70" s="1001">
        <f>Matryca!R70</f>
        <v>6</v>
      </c>
      <c r="CM70" s="1002">
        <f>Matryca!S70</f>
        <v>4</v>
      </c>
    </row>
    <row r="71" spans="1:91" s="44" customFormat="1" ht="30" customHeight="1" x14ac:dyDescent="0.25">
      <c r="A71" s="45">
        <v>50</v>
      </c>
      <c r="B71" s="47"/>
      <c r="C71" s="46" t="s">
        <v>107</v>
      </c>
      <c r="D71" s="46"/>
      <c r="E71" s="47">
        <v>3</v>
      </c>
      <c r="F71" s="61" t="s">
        <v>469</v>
      </c>
      <c r="G71" s="46" t="s">
        <v>59</v>
      </c>
      <c r="H71" s="118"/>
      <c r="I71" s="121" t="s">
        <v>523</v>
      </c>
      <c r="J71" s="121"/>
      <c r="K71" s="121"/>
      <c r="L71" s="122" t="s">
        <v>417</v>
      </c>
      <c r="M71" s="49">
        <f t="shared" si="249"/>
        <v>125</v>
      </c>
      <c r="N71" s="50">
        <f t="shared" si="250"/>
        <v>55</v>
      </c>
      <c r="O71" s="54">
        <f t="shared" si="251"/>
        <v>70</v>
      </c>
      <c r="P71" s="424">
        <f t="shared" si="252"/>
        <v>70</v>
      </c>
      <c r="Q71" s="52">
        <f t="shared" si="253"/>
        <v>5</v>
      </c>
      <c r="R71" s="76">
        <f t="shared" si="254"/>
        <v>0</v>
      </c>
      <c r="S71" s="76">
        <f t="shared" si="255"/>
        <v>4.2857142857142856</v>
      </c>
      <c r="T71" s="39">
        <f t="shared" si="256"/>
        <v>0.7142857142857143</v>
      </c>
      <c r="U71" s="187">
        <f t="shared" si="257"/>
        <v>2.8</v>
      </c>
      <c r="V71" s="201" t="s">
        <v>56</v>
      </c>
      <c r="W71" s="55"/>
      <c r="X71" s="155"/>
      <c r="Y71" s="53">
        <f t="shared" si="258"/>
        <v>0</v>
      </c>
      <c r="Z71" s="54">
        <f t="shared" si="259"/>
        <v>0</v>
      </c>
      <c r="AA71" s="419">
        <f t="shared" si="260"/>
        <v>0</v>
      </c>
      <c r="AB71" s="674"/>
      <c r="AC71" s="286"/>
      <c r="AD71" s="265"/>
      <c r="AE71" s="265"/>
      <c r="AF71" s="265"/>
      <c r="AG71" s="265"/>
      <c r="AH71" s="265"/>
      <c r="AI71" s="265"/>
      <c r="AJ71" s="265"/>
      <c r="AK71" s="265"/>
      <c r="AL71" s="265"/>
      <c r="AM71" s="265"/>
      <c r="AN71" s="265"/>
      <c r="AO71" s="265"/>
      <c r="AP71" s="265"/>
      <c r="AQ71" s="265"/>
      <c r="AR71" s="278"/>
      <c r="AS71" s="675"/>
      <c r="AT71" s="55" t="s">
        <v>99</v>
      </c>
      <c r="AU71" s="155">
        <v>5</v>
      </c>
      <c r="AV71" s="49">
        <f t="shared" si="261"/>
        <v>125</v>
      </c>
      <c r="AW71" s="54">
        <f t="shared" si="262"/>
        <v>70</v>
      </c>
      <c r="AX71" s="424">
        <f t="shared" si="263"/>
        <v>70</v>
      </c>
      <c r="AY71" s="265">
        <v>10</v>
      </c>
      <c r="AZ71" s="286">
        <v>10</v>
      </c>
      <c r="BA71" s="265"/>
      <c r="BB71" s="265">
        <v>10</v>
      </c>
      <c r="BC71" s="265">
        <v>50</v>
      </c>
      <c r="BD71" s="265"/>
      <c r="BE71" s="265"/>
      <c r="BF71" s="265"/>
      <c r="BG71" s="265"/>
      <c r="BH71" s="265"/>
      <c r="BI71" s="265"/>
      <c r="BJ71" s="265"/>
      <c r="BK71" s="265"/>
      <c r="BL71" s="265"/>
      <c r="BM71" s="265"/>
      <c r="BN71" s="265"/>
      <c r="BO71" s="278"/>
      <c r="BP71" s="309">
        <v>55</v>
      </c>
      <c r="BQ71" s="142">
        <f t="shared" si="264"/>
        <v>25</v>
      </c>
      <c r="BR71" s="209" t="str">
        <f t="shared" si="265"/>
        <v>Wartość prawidłowa</v>
      </c>
      <c r="BS71" s="926">
        <f t="shared" si="53"/>
        <v>60</v>
      </c>
      <c r="BT71" s="118">
        <f t="shared" si="54"/>
        <v>10</v>
      </c>
      <c r="BU71" s="118">
        <f t="shared" si="55"/>
        <v>0</v>
      </c>
      <c r="BV71" s="118">
        <f t="shared" si="56"/>
        <v>0</v>
      </c>
      <c r="BW71" s="118">
        <f t="shared" si="57"/>
        <v>55</v>
      </c>
      <c r="BX71" s="209">
        <f t="shared" si="58"/>
        <v>0</v>
      </c>
      <c r="BY71" s="927">
        <f t="shared" si="59"/>
        <v>125</v>
      </c>
      <c r="BZ71" s="928">
        <f t="shared" si="60"/>
        <v>2.4</v>
      </c>
      <c r="CA71" s="929">
        <f t="shared" si="61"/>
        <v>0.4</v>
      </c>
      <c r="CB71" s="929">
        <f t="shared" si="62"/>
        <v>0</v>
      </c>
      <c r="CC71" s="929">
        <f t="shared" si="63"/>
        <v>0</v>
      </c>
      <c r="CD71" s="929">
        <f t="shared" si="64"/>
        <v>2.2000000000000002</v>
      </c>
      <c r="CE71" s="949">
        <f t="shared" si="65"/>
        <v>0</v>
      </c>
      <c r="CF71" s="963">
        <f t="shared" si="66"/>
        <v>5</v>
      </c>
      <c r="CG71" s="957">
        <f t="shared" si="266"/>
        <v>70</v>
      </c>
      <c r="CH71" s="209">
        <f t="shared" si="267"/>
        <v>10</v>
      </c>
      <c r="CI71" s="930">
        <f t="shared" si="268"/>
        <v>2.8</v>
      </c>
      <c r="CJ71" s="998">
        <f t="shared" si="269"/>
        <v>0.4</v>
      </c>
      <c r="CK71" s="1000">
        <f>Matryca!Q71</f>
        <v>2</v>
      </c>
      <c r="CL71" s="1001">
        <f>Matryca!R71</f>
        <v>5</v>
      </c>
      <c r="CM71" s="1002">
        <f>Matryca!S71</f>
        <v>4</v>
      </c>
    </row>
    <row r="72" spans="1:91" s="44" customFormat="1" ht="49.5" customHeight="1" x14ac:dyDescent="0.25">
      <c r="A72" s="45">
        <v>51</v>
      </c>
      <c r="B72" s="47"/>
      <c r="C72" s="46" t="s">
        <v>107</v>
      </c>
      <c r="D72" s="46"/>
      <c r="E72" s="47">
        <v>3</v>
      </c>
      <c r="F72" s="46" t="s">
        <v>469</v>
      </c>
      <c r="G72" s="46" t="s">
        <v>59</v>
      </c>
      <c r="H72" s="118"/>
      <c r="I72" s="118" t="s">
        <v>580</v>
      </c>
      <c r="J72" s="118"/>
      <c r="K72" s="118"/>
      <c r="L72" s="122" t="s">
        <v>418</v>
      </c>
      <c r="M72" s="49">
        <f t="shared" si="249"/>
        <v>25</v>
      </c>
      <c r="N72" s="50">
        <f t="shared" si="250"/>
        <v>5</v>
      </c>
      <c r="O72" s="54">
        <f t="shared" si="251"/>
        <v>20</v>
      </c>
      <c r="P72" s="424">
        <f t="shared" si="252"/>
        <v>20</v>
      </c>
      <c r="Q72" s="52">
        <f t="shared" si="253"/>
        <v>1</v>
      </c>
      <c r="R72" s="76">
        <f t="shared" si="254"/>
        <v>0</v>
      </c>
      <c r="S72" s="76">
        <f t="shared" si="255"/>
        <v>0</v>
      </c>
      <c r="T72" s="39">
        <f t="shared" si="256"/>
        <v>0.5</v>
      </c>
      <c r="U72" s="187">
        <f t="shared" si="257"/>
        <v>0.8</v>
      </c>
      <c r="V72" s="201" t="s">
        <v>99</v>
      </c>
      <c r="W72" s="55"/>
      <c r="X72" s="155">
        <v>1</v>
      </c>
      <c r="Y72" s="53">
        <f t="shared" si="258"/>
        <v>25</v>
      </c>
      <c r="Z72" s="54">
        <f t="shared" si="259"/>
        <v>20</v>
      </c>
      <c r="AA72" s="419">
        <f t="shared" si="260"/>
        <v>20</v>
      </c>
      <c r="AB72" s="674">
        <v>10</v>
      </c>
      <c r="AC72" s="286">
        <v>10</v>
      </c>
      <c r="AD72" s="265"/>
      <c r="AE72" s="265">
        <v>10</v>
      </c>
      <c r="AF72" s="265"/>
      <c r="AG72" s="265"/>
      <c r="AH72" s="265"/>
      <c r="AI72" s="265"/>
      <c r="AJ72" s="265"/>
      <c r="AK72" s="265"/>
      <c r="AL72" s="265"/>
      <c r="AM72" s="265"/>
      <c r="AN72" s="265"/>
      <c r="AO72" s="265"/>
      <c r="AP72" s="265"/>
      <c r="AQ72" s="265"/>
      <c r="AR72" s="278"/>
      <c r="AS72" s="675">
        <v>5</v>
      </c>
      <c r="AT72" s="55" t="s">
        <v>99</v>
      </c>
      <c r="AU72" s="155"/>
      <c r="AV72" s="49">
        <f t="shared" si="261"/>
        <v>0</v>
      </c>
      <c r="AW72" s="54">
        <f t="shared" si="262"/>
        <v>0</v>
      </c>
      <c r="AX72" s="424">
        <f t="shared" si="263"/>
        <v>0</v>
      </c>
      <c r="AY72" s="265"/>
      <c r="AZ72" s="286"/>
      <c r="BA72" s="265"/>
      <c r="BB72" s="265"/>
      <c r="BC72" s="265"/>
      <c r="BD72" s="265"/>
      <c r="BE72" s="265"/>
      <c r="BF72" s="265"/>
      <c r="BG72" s="265"/>
      <c r="BH72" s="265"/>
      <c r="BI72" s="265"/>
      <c r="BJ72" s="265"/>
      <c r="BK72" s="265"/>
      <c r="BL72" s="265"/>
      <c r="BM72" s="265"/>
      <c r="BN72" s="265"/>
      <c r="BO72" s="278"/>
      <c r="BP72" s="309"/>
      <c r="BQ72" s="142">
        <f t="shared" si="264"/>
        <v>25</v>
      </c>
      <c r="BR72" s="209" t="str">
        <f t="shared" si="265"/>
        <v>Wartość prawidłowa</v>
      </c>
      <c r="BS72" s="926">
        <f t="shared" si="53"/>
        <v>10</v>
      </c>
      <c r="BT72" s="118">
        <f t="shared" si="54"/>
        <v>10</v>
      </c>
      <c r="BU72" s="118">
        <f t="shared" si="55"/>
        <v>0</v>
      </c>
      <c r="BV72" s="118">
        <f t="shared" si="56"/>
        <v>0</v>
      </c>
      <c r="BW72" s="118">
        <f t="shared" si="57"/>
        <v>5</v>
      </c>
      <c r="BX72" s="209">
        <f t="shared" si="58"/>
        <v>0</v>
      </c>
      <c r="BY72" s="927">
        <f t="shared" si="59"/>
        <v>25</v>
      </c>
      <c r="BZ72" s="928">
        <f t="shared" si="60"/>
        <v>0.4</v>
      </c>
      <c r="CA72" s="929">
        <f t="shared" si="61"/>
        <v>0.4</v>
      </c>
      <c r="CB72" s="929">
        <f t="shared" si="62"/>
        <v>0</v>
      </c>
      <c r="CC72" s="929">
        <f t="shared" si="63"/>
        <v>0</v>
      </c>
      <c r="CD72" s="929">
        <f t="shared" si="64"/>
        <v>0.2</v>
      </c>
      <c r="CE72" s="949">
        <f t="shared" si="65"/>
        <v>0</v>
      </c>
      <c r="CF72" s="963">
        <f t="shared" si="66"/>
        <v>1</v>
      </c>
      <c r="CG72" s="957">
        <f t="shared" si="266"/>
        <v>20</v>
      </c>
      <c r="CH72" s="209">
        <f t="shared" si="267"/>
        <v>10</v>
      </c>
      <c r="CI72" s="930">
        <f t="shared" si="268"/>
        <v>0.8</v>
      </c>
      <c r="CJ72" s="998">
        <f t="shared" si="269"/>
        <v>0.4</v>
      </c>
      <c r="CK72" s="1000">
        <f>Matryca!Q72</f>
        <v>1</v>
      </c>
      <c r="CL72" s="1001">
        <f>Matryca!R72</f>
        <v>2</v>
      </c>
      <c r="CM72" s="1002">
        <f>Matryca!S72</f>
        <v>1</v>
      </c>
    </row>
    <row r="73" spans="1:91" s="44" customFormat="1" ht="30" customHeight="1" x14ac:dyDescent="0.25">
      <c r="A73" s="45">
        <v>52</v>
      </c>
      <c r="B73" s="31"/>
      <c r="C73" s="32" t="s">
        <v>107</v>
      </c>
      <c r="D73" s="32"/>
      <c r="E73" s="47">
        <v>3</v>
      </c>
      <c r="F73" s="46" t="s">
        <v>469</v>
      </c>
      <c r="G73" s="32" t="s">
        <v>59</v>
      </c>
      <c r="H73" s="33"/>
      <c r="I73" s="118" t="s">
        <v>586</v>
      </c>
      <c r="J73" s="118"/>
      <c r="K73" s="118"/>
      <c r="L73" s="122" t="s">
        <v>418</v>
      </c>
      <c r="M73" s="192">
        <f t="shared" si="249"/>
        <v>25</v>
      </c>
      <c r="N73" s="50">
        <f t="shared" si="250"/>
        <v>15</v>
      </c>
      <c r="O73" s="51">
        <f t="shared" si="251"/>
        <v>10</v>
      </c>
      <c r="P73" s="415">
        <f t="shared" si="252"/>
        <v>10</v>
      </c>
      <c r="Q73" s="52">
        <f t="shared" si="253"/>
        <v>1</v>
      </c>
      <c r="R73" s="38">
        <f t="shared" si="254"/>
        <v>0</v>
      </c>
      <c r="S73" s="38">
        <f t="shared" si="255"/>
        <v>0</v>
      </c>
      <c r="T73" s="39">
        <f t="shared" si="256"/>
        <v>1</v>
      </c>
      <c r="U73" s="40">
        <f t="shared" si="257"/>
        <v>0.4</v>
      </c>
      <c r="V73" s="201" t="s">
        <v>99</v>
      </c>
      <c r="W73" s="43"/>
      <c r="X73" s="155"/>
      <c r="Y73" s="53">
        <f t="shared" si="258"/>
        <v>0</v>
      </c>
      <c r="Z73" s="54">
        <f t="shared" si="259"/>
        <v>0</v>
      </c>
      <c r="AA73" s="419">
        <f t="shared" si="260"/>
        <v>0</v>
      </c>
      <c r="AB73" s="674"/>
      <c r="AC73" s="277"/>
      <c r="AD73" s="265"/>
      <c r="AE73" s="265"/>
      <c r="AF73" s="265"/>
      <c r="AG73" s="265"/>
      <c r="AH73" s="265"/>
      <c r="AI73" s="265"/>
      <c r="AJ73" s="265"/>
      <c r="AK73" s="265"/>
      <c r="AL73" s="265"/>
      <c r="AM73" s="265"/>
      <c r="AN73" s="265"/>
      <c r="AO73" s="265"/>
      <c r="AP73" s="265"/>
      <c r="AQ73" s="265"/>
      <c r="AR73" s="278"/>
      <c r="AS73" s="675"/>
      <c r="AT73" s="43" t="s">
        <v>99</v>
      </c>
      <c r="AU73" s="205">
        <v>1</v>
      </c>
      <c r="AV73" s="34">
        <f t="shared" si="261"/>
        <v>25</v>
      </c>
      <c r="AW73" s="42">
        <f t="shared" si="262"/>
        <v>10</v>
      </c>
      <c r="AX73" s="424">
        <f t="shared" si="263"/>
        <v>10</v>
      </c>
      <c r="AY73" s="261">
        <v>10</v>
      </c>
      <c r="AZ73" s="274">
        <v>10</v>
      </c>
      <c r="BA73" s="266"/>
      <c r="BB73" s="266"/>
      <c r="BC73" s="266"/>
      <c r="BD73" s="266"/>
      <c r="BE73" s="266"/>
      <c r="BF73" s="266"/>
      <c r="BG73" s="266"/>
      <c r="BH73" s="266"/>
      <c r="BI73" s="266"/>
      <c r="BJ73" s="266"/>
      <c r="BK73" s="266"/>
      <c r="BL73" s="266"/>
      <c r="BM73" s="266"/>
      <c r="BN73" s="266"/>
      <c r="BO73" s="275"/>
      <c r="BP73" s="276">
        <v>15</v>
      </c>
      <c r="BQ73" s="141">
        <f t="shared" si="264"/>
        <v>25</v>
      </c>
      <c r="BR73" s="209" t="str">
        <f t="shared" si="265"/>
        <v>Wartość prawidłowa</v>
      </c>
      <c r="BS73" s="926">
        <f t="shared" si="53"/>
        <v>0</v>
      </c>
      <c r="BT73" s="118">
        <f t="shared" si="54"/>
        <v>10</v>
      </c>
      <c r="BU73" s="118">
        <f t="shared" si="55"/>
        <v>0</v>
      </c>
      <c r="BV73" s="118">
        <f t="shared" si="56"/>
        <v>0</v>
      </c>
      <c r="BW73" s="118">
        <f t="shared" si="57"/>
        <v>15</v>
      </c>
      <c r="BX73" s="209">
        <f t="shared" si="58"/>
        <v>0</v>
      </c>
      <c r="BY73" s="927">
        <f t="shared" si="59"/>
        <v>25</v>
      </c>
      <c r="BZ73" s="928">
        <f t="shared" si="60"/>
        <v>0</v>
      </c>
      <c r="CA73" s="929">
        <f t="shared" si="61"/>
        <v>0.4</v>
      </c>
      <c r="CB73" s="929">
        <f t="shared" si="62"/>
        <v>0</v>
      </c>
      <c r="CC73" s="929">
        <f t="shared" si="63"/>
        <v>0</v>
      </c>
      <c r="CD73" s="929">
        <f t="shared" si="64"/>
        <v>0.6</v>
      </c>
      <c r="CE73" s="949">
        <f t="shared" si="65"/>
        <v>0</v>
      </c>
      <c r="CF73" s="963">
        <f t="shared" si="66"/>
        <v>1</v>
      </c>
      <c r="CG73" s="957">
        <f t="shared" si="266"/>
        <v>10</v>
      </c>
      <c r="CH73" s="209">
        <f t="shared" si="267"/>
        <v>10</v>
      </c>
      <c r="CI73" s="930">
        <f t="shared" si="268"/>
        <v>0.4</v>
      </c>
      <c r="CJ73" s="998">
        <f t="shared" si="269"/>
        <v>0.4</v>
      </c>
      <c r="CK73" s="1000">
        <f>Matryca!Q73</f>
        <v>2</v>
      </c>
      <c r="CL73" s="1001">
        <f>Matryca!R73</f>
        <v>5</v>
      </c>
      <c r="CM73" s="1002">
        <f>Matryca!S73</f>
        <v>1</v>
      </c>
    </row>
    <row r="74" spans="1:91" s="44" customFormat="1" ht="30" customHeight="1" x14ac:dyDescent="0.25">
      <c r="A74" s="45">
        <v>53</v>
      </c>
      <c r="B74" s="47"/>
      <c r="C74" s="46" t="s">
        <v>107</v>
      </c>
      <c r="D74" s="46"/>
      <c r="E74" s="47">
        <v>3</v>
      </c>
      <c r="F74" s="46" t="s">
        <v>469</v>
      </c>
      <c r="G74" s="46" t="s">
        <v>59</v>
      </c>
      <c r="H74" s="118"/>
      <c r="I74" s="1088" t="s">
        <v>623</v>
      </c>
      <c r="J74" s="118"/>
      <c r="K74" s="118"/>
      <c r="L74" s="122" t="s">
        <v>417</v>
      </c>
      <c r="M74" s="49">
        <f t="shared" si="249"/>
        <v>100</v>
      </c>
      <c r="N74" s="50">
        <f t="shared" si="250"/>
        <v>30</v>
      </c>
      <c r="O74" s="54">
        <f t="shared" si="251"/>
        <v>70</v>
      </c>
      <c r="P74" s="424">
        <f t="shared" si="252"/>
        <v>70</v>
      </c>
      <c r="Q74" s="52">
        <f t="shared" si="253"/>
        <v>4</v>
      </c>
      <c r="R74" s="76">
        <f t="shared" si="254"/>
        <v>0</v>
      </c>
      <c r="S74" s="76">
        <f t="shared" si="255"/>
        <v>3.4285714285714284</v>
      </c>
      <c r="T74" s="39">
        <f t="shared" si="256"/>
        <v>0.5714285714285714</v>
      </c>
      <c r="U74" s="187">
        <f t="shared" si="257"/>
        <v>2.8</v>
      </c>
      <c r="V74" s="201" t="s">
        <v>56</v>
      </c>
      <c r="W74" s="55" t="s">
        <v>99</v>
      </c>
      <c r="X74" s="155">
        <v>4</v>
      </c>
      <c r="Y74" s="53">
        <f t="shared" si="258"/>
        <v>100</v>
      </c>
      <c r="Z74" s="54">
        <f t="shared" si="259"/>
        <v>70</v>
      </c>
      <c r="AA74" s="419">
        <f t="shared" si="260"/>
        <v>70</v>
      </c>
      <c r="AB74" s="674">
        <v>10</v>
      </c>
      <c r="AC74" s="286">
        <v>10</v>
      </c>
      <c r="AD74" s="265"/>
      <c r="AE74" s="886">
        <v>60</v>
      </c>
      <c r="AG74" s="265"/>
      <c r="AH74" s="265"/>
      <c r="AI74" s="265"/>
      <c r="AJ74" s="265"/>
      <c r="AK74" s="265"/>
      <c r="AL74" s="265"/>
      <c r="AM74" s="265"/>
      <c r="AN74" s="265"/>
      <c r="AO74" s="265"/>
      <c r="AP74" s="265"/>
      <c r="AQ74" s="265"/>
      <c r="AR74" s="278"/>
      <c r="AS74" s="675">
        <v>30</v>
      </c>
      <c r="AT74" s="55"/>
      <c r="AU74" s="155"/>
      <c r="AV74" s="49">
        <f t="shared" si="261"/>
        <v>0</v>
      </c>
      <c r="AW74" s="54">
        <f t="shared" si="262"/>
        <v>0</v>
      </c>
      <c r="AX74" s="424">
        <f t="shared" si="263"/>
        <v>0</v>
      </c>
      <c r="AY74" s="265"/>
      <c r="AZ74" s="286"/>
      <c r="BA74" s="265"/>
      <c r="BB74" s="265"/>
      <c r="BC74" s="265"/>
      <c r="BD74" s="265"/>
      <c r="BE74" s="265"/>
      <c r="BF74" s="265"/>
      <c r="BG74" s="265"/>
      <c r="BH74" s="265"/>
      <c r="BI74" s="265"/>
      <c r="BJ74" s="265"/>
      <c r="BK74" s="265"/>
      <c r="BL74" s="265"/>
      <c r="BM74" s="265"/>
      <c r="BN74" s="265"/>
      <c r="BO74" s="278"/>
      <c r="BP74" s="309"/>
      <c r="BQ74" s="142">
        <f t="shared" si="264"/>
        <v>25</v>
      </c>
      <c r="BR74" s="209" t="str">
        <f t="shared" si="265"/>
        <v>Wartość prawidłowa</v>
      </c>
      <c r="BS74" s="926">
        <f t="shared" si="53"/>
        <v>60</v>
      </c>
      <c r="BT74" s="118">
        <f t="shared" si="54"/>
        <v>10</v>
      </c>
      <c r="BU74" s="118">
        <f t="shared" si="55"/>
        <v>0</v>
      </c>
      <c r="BV74" s="118">
        <f t="shared" si="56"/>
        <v>0</v>
      </c>
      <c r="BW74" s="118">
        <f t="shared" si="57"/>
        <v>30</v>
      </c>
      <c r="BX74" s="209">
        <f t="shared" si="58"/>
        <v>0</v>
      </c>
      <c r="BY74" s="927">
        <f t="shared" si="59"/>
        <v>100</v>
      </c>
      <c r="BZ74" s="928">
        <f t="shared" si="60"/>
        <v>2.4</v>
      </c>
      <c r="CA74" s="929">
        <f t="shared" si="61"/>
        <v>0.4</v>
      </c>
      <c r="CB74" s="929">
        <f t="shared" si="62"/>
        <v>0</v>
      </c>
      <c r="CC74" s="929">
        <f t="shared" si="63"/>
        <v>0</v>
      </c>
      <c r="CD74" s="929">
        <f t="shared" si="64"/>
        <v>1.2</v>
      </c>
      <c r="CE74" s="949">
        <f t="shared" si="65"/>
        <v>0</v>
      </c>
      <c r="CF74" s="963">
        <f t="shared" si="66"/>
        <v>4</v>
      </c>
      <c r="CG74" s="957">
        <f t="shared" si="266"/>
        <v>70</v>
      </c>
      <c r="CH74" s="209">
        <f t="shared" si="267"/>
        <v>10</v>
      </c>
      <c r="CI74" s="930">
        <f t="shared" si="268"/>
        <v>2.8</v>
      </c>
      <c r="CJ74" s="998">
        <f t="shared" si="269"/>
        <v>0.4</v>
      </c>
      <c r="CK74" s="1000">
        <f>Matryca!Q74</f>
        <v>1</v>
      </c>
      <c r="CL74" s="1001">
        <f>Matryca!R74</f>
        <v>3</v>
      </c>
      <c r="CM74" s="1002">
        <f>Matryca!S74</f>
        <v>4</v>
      </c>
    </row>
    <row r="75" spans="1:91" s="44" customFormat="1" ht="30" customHeight="1" x14ac:dyDescent="0.25">
      <c r="A75" s="45">
        <v>54</v>
      </c>
      <c r="B75" s="47"/>
      <c r="C75" s="61" t="s">
        <v>107</v>
      </c>
      <c r="D75" s="61"/>
      <c r="E75" s="47">
        <v>3</v>
      </c>
      <c r="F75" s="46" t="s">
        <v>469</v>
      </c>
      <c r="G75" s="61" t="s">
        <v>59</v>
      </c>
      <c r="H75" s="63"/>
      <c r="I75" s="118" t="s">
        <v>464</v>
      </c>
      <c r="J75" s="121"/>
      <c r="K75" s="121"/>
      <c r="L75" s="122" t="s">
        <v>417</v>
      </c>
      <c r="M75" s="49">
        <f t="shared" si="249"/>
        <v>100</v>
      </c>
      <c r="N75" s="50">
        <f t="shared" si="250"/>
        <v>30</v>
      </c>
      <c r="O75" s="54">
        <f t="shared" si="251"/>
        <v>70</v>
      </c>
      <c r="P75" s="424">
        <f t="shared" si="252"/>
        <v>70</v>
      </c>
      <c r="Q75" s="52">
        <f t="shared" si="253"/>
        <v>4</v>
      </c>
      <c r="R75" s="76">
        <f t="shared" si="254"/>
        <v>0</v>
      </c>
      <c r="S75" s="76">
        <f t="shared" si="255"/>
        <v>3.4285714285714284</v>
      </c>
      <c r="T75" s="39">
        <f t="shared" si="256"/>
        <v>0.5714285714285714</v>
      </c>
      <c r="U75" s="187">
        <f t="shared" si="257"/>
        <v>2.8</v>
      </c>
      <c r="V75" s="201" t="s">
        <v>56</v>
      </c>
      <c r="W75" s="55"/>
      <c r="X75" s="155"/>
      <c r="Y75" s="53">
        <f t="shared" si="258"/>
        <v>0</v>
      </c>
      <c r="Z75" s="54">
        <f t="shared" si="259"/>
        <v>0</v>
      </c>
      <c r="AA75" s="419">
        <f t="shared" si="260"/>
        <v>0</v>
      </c>
      <c r="AB75" s="674"/>
      <c r="AC75" s="286"/>
      <c r="AD75" s="265"/>
      <c r="AE75" s="265"/>
      <c r="AF75" s="265"/>
      <c r="AG75" s="265"/>
      <c r="AH75" s="265"/>
      <c r="AI75" s="265"/>
      <c r="AJ75" s="265"/>
      <c r="AK75" s="265"/>
      <c r="AL75" s="265"/>
      <c r="AM75" s="265"/>
      <c r="AN75" s="265"/>
      <c r="AO75" s="265"/>
      <c r="AP75" s="265"/>
      <c r="AQ75" s="265"/>
      <c r="AR75" s="278"/>
      <c r="AS75" s="675"/>
      <c r="AT75" s="55" t="s">
        <v>99</v>
      </c>
      <c r="AU75" s="155">
        <v>4</v>
      </c>
      <c r="AV75" s="49">
        <f t="shared" si="261"/>
        <v>100</v>
      </c>
      <c r="AW75" s="54">
        <f t="shared" si="262"/>
        <v>70</v>
      </c>
      <c r="AX75" s="424">
        <f t="shared" si="263"/>
        <v>70</v>
      </c>
      <c r="AY75" s="265">
        <v>10</v>
      </c>
      <c r="AZ75" s="286">
        <v>10</v>
      </c>
      <c r="BA75" s="265"/>
      <c r="BB75" s="265">
        <v>60</v>
      </c>
      <c r="BC75" s="265"/>
      <c r="BD75" s="265"/>
      <c r="BE75" s="265"/>
      <c r="BF75" s="265"/>
      <c r="BG75" s="265"/>
      <c r="BH75" s="265"/>
      <c r="BI75" s="265"/>
      <c r="BJ75" s="265"/>
      <c r="BK75" s="265"/>
      <c r="BL75" s="265"/>
      <c r="BM75" s="265"/>
      <c r="BN75" s="265"/>
      <c r="BO75" s="278"/>
      <c r="BP75" s="309">
        <v>30</v>
      </c>
      <c r="BQ75" s="142">
        <f t="shared" si="264"/>
        <v>25</v>
      </c>
      <c r="BR75" s="209" t="str">
        <f t="shared" si="265"/>
        <v>Wartość prawidłowa</v>
      </c>
      <c r="BS75" s="926">
        <f t="shared" si="53"/>
        <v>60</v>
      </c>
      <c r="BT75" s="118">
        <f t="shared" si="54"/>
        <v>10</v>
      </c>
      <c r="BU75" s="118">
        <f t="shared" si="55"/>
        <v>0</v>
      </c>
      <c r="BV75" s="118">
        <f t="shared" si="56"/>
        <v>0</v>
      </c>
      <c r="BW75" s="118">
        <f t="shared" si="57"/>
        <v>30</v>
      </c>
      <c r="BX75" s="209">
        <f t="shared" si="58"/>
        <v>0</v>
      </c>
      <c r="BY75" s="927">
        <f t="shared" si="59"/>
        <v>100</v>
      </c>
      <c r="BZ75" s="928">
        <f t="shared" si="60"/>
        <v>2.4</v>
      </c>
      <c r="CA75" s="929">
        <f t="shared" si="61"/>
        <v>0.4</v>
      </c>
      <c r="CB75" s="929">
        <f t="shared" si="62"/>
        <v>0</v>
      </c>
      <c r="CC75" s="929">
        <f t="shared" si="63"/>
        <v>0</v>
      </c>
      <c r="CD75" s="929">
        <f t="shared" si="64"/>
        <v>1.2</v>
      </c>
      <c r="CE75" s="949">
        <f t="shared" si="65"/>
        <v>0</v>
      </c>
      <c r="CF75" s="963">
        <f t="shared" si="66"/>
        <v>4</v>
      </c>
      <c r="CG75" s="957">
        <f t="shared" si="266"/>
        <v>70</v>
      </c>
      <c r="CH75" s="209">
        <f t="shared" si="267"/>
        <v>10</v>
      </c>
      <c r="CI75" s="930">
        <f t="shared" si="268"/>
        <v>2.8</v>
      </c>
      <c r="CJ75" s="998">
        <f t="shared" si="269"/>
        <v>0.4</v>
      </c>
      <c r="CK75" s="1000">
        <f>Matryca!Q75</f>
        <v>1</v>
      </c>
      <c r="CL75" s="1001">
        <f>Matryca!R75</f>
        <v>5</v>
      </c>
      <c r="CM75" s="1002">
        <f>Matryca!S75</f>
        <v>1</v>
      </c>
    </row>
    <row r="76" spans="1:91" s="44" customFormat="1" ht="30" customHeight="1" x14ac:dyDescent="0.25">
      <c r="A76" s="45">
        <v>55</v>
      </c>
      <c r="B76" s="47"/>
      <c r="C76" s="46" t="s">
        <v>107</v>
      </c>
      <c r="D76" s="46"/>
      <c r="E76" s="47">
        <v>3</v>
      </c>
      <c r="F76" s="46" t="s">
        <v>469</v>
      </c>
      <c r="G76" s="46" t="s">
        <v>59</v>
      </c>
      <c r="H76" s="118"/>
      <c r="I76" s="118" t="s">
        <v>463</v>
      </c>
      <c r="J76" s="118"/>
      <c r="K76" s="118"/>
      <c r="L76" s="122" t="s">
        <v>417</v>
      </c>
      <c r="M76" s="49">
        <f t="shared" si="249"/>
        <v>100</v>
      </c>
      <c r="N76" s="50">
        <f t="shared" si="250"/>
        <v>25</v>
      </c>
      <c r="O76" s="54">
        <f t="shared" si="251"/>
        <v>75</v>
      </c>
      <c r="P76" s="424">
        <f t="shared" si="252"/>
        <v>75</v>
      </c>
      <c r="Q76" s="52">
        <f t="shared" si="253"/>
        <v>4</v>
      </c>
      <c r="R76" s="76">
        <f t="shared" si="254"/>
        <v>0</v>
      </c>
      <c r="S76" s="76">
        <f t="shared" si="255"/>
        <v>3.4666666666666668</v>
      </c>
      <c r="T76" s="39">
        <f t="shared" si="256"/>
        <v>0.53333333333333333</v>
      </c>
      <c r="U76" s="187">
        <f t="shared" si="257"/>
        <v>3</v>
      </c>
      <c r="V76" s="201" t="s">
        <v>56</v>
      </c>
      <c r="W76" s="55" t="s">
        <v>99</v>
      </c>
      <c r="X76" s="155">
        <v>4</v>
      </c>
      <c r="Y76" s="53">
        <f t="shared" si="258"/>
        <v>100</v>
      </c>
      <c r="Z76" s="54">
        <f t="shared" si="259"/>
        <v>75</v>
      </c>
      <c r="AA76" s="419">
        <f t="shared" si="260"/>
        <v>75</v>
      </c>
      <c r="AB76" s="674">
        <v>10</v>
      </c>
      <c r="AC76" s="286">
        <v>10</v>
      </c>
      <c r="AD76" s="265"/>
      <c r="AE76" s="886">
        <v>65</v>
      </c>
      <c r="AF76" s="265"/>
      <c r="AG76" s="265"/>
      <c r="AH76" s="265"/>
      <c r="AI76" s="265"/>
      <c r="AJ76" s="265"/>
      <c r="AL76" s="265"/>
      <c r="AM76" s="265"/>
      <c r="AN76" s="265"/>
      <c r="AO76" s="265"/>
      <c r="AP76" s="265"/>
      <c r="AQ76" s="265"/>
      <c r="AR76" s="278"/>
      <c r="AS76" s="675">
        <v>25</v>
      </c>
      <c r="AT76" s="55"/>
      <c r="AU76" s="155"/>
      <c r="AV76" s="49">
        <f t="shared" si="261"/>
        <v>0</v>
      </c>
      <c r="AW76" s="54">
        <f t="shared" si="262"/>
        <v>0</v>
      </c>
      <c r="AX76" s="424">
        <f t="shared" si="263"/>
        <v>0</v>
      </c>
      <c r="AY76" s="265"/>
      <c r="AZ76" s="286"/>
      <c r="BA76" s="265"/>
      <c r="BB76" s="265"/>
      <c r="BC76" s="265"/>
      <c r="BD76" s="265"/>
      <c r="BE76" s="265"/>
      <c r="BF76" s="265"/>
      <c r="BG76" s="265"/>
      <c r="BH76" s="265"/>
      <c r="BI76" s="265"/>
      <c r="BJ76" s="265"/>
      <c r="BK76" s="265"/>
      <c r="BL76" s="265"/>
      <c r="BM76" s="265"/>
      <c r="BN76" s="265"/>
      <c r="BO76" s="278"/>
      <c r="BP76" s="309"/>
      <c r="BQ76" s="142">
        <f t="shared" si="264"/>
        <v>25</v>
      </c>
      <c r="BR76" s="209" t="str">
        <f t="shared" si="265"/>
        <v>Wartość prawidłowa</v>
      </c>
      <c r="BS76" s="926">
        <f t="shared" si="53"/>
        <v>65</v>
      </c>
      <c r="BT76" s="118">
        <f t="shared" si="54"/>
        <v>10</v>
      </c>
      <c r="BU76" s="118">
        <f t="shared" si="55"/>
        <v>0</v>
      </c>
      <c r="BV76" s="118">
        <f t="shared" si="56"/>
        <v>0</v>
      </c>
      <c r="BW76" s="118">
        <f t="shared" si="57"/>
        <v>25</v>
      </c>
      <c r="BX76" s="209">
        <f t="shared" si="58"/>
        <v>0</v>
      </c>
      <c r="BY76" s="927">
        <f t="shared" si="59"/>
        <v>100</v>
      </c>
      <c r="BZ76" s="928">
        <f t="shared" si="60"/>
        <v>2.6</v>
      </c>
      <c r="CA76" s="929">
        <f t="shared" si="61"/>
        <v>0.4</v>
      </c>
      <c r="CB76" s="929">
        <f t="shared" si="62"/>
        <v>0</v>
      </c>
      <c r="CC76" s="929">
        <f t="shared" si="63"/>
        <v>0</v>
      </c>
      <c r="CD76" s="929">
        <f t="shared" si="64"/>
        <v>1</v>
      </c>
      <c r="CE76" s="949">
        <f t="shared" si="65"/>
        <v>0</v>
      </c>
      <c r="CF76" s="963">
        <f t="shared" si="66"/>
        <v>4</v>
      </c>
      <c r="CG76" s="957">
        <f t="shared" si="266"/>
        <v>75</v>
      </c>
      <c r="CH76" s="209">
        <f t="shared" si="267"/>
        <v>10</v>
      </c>
      <c r="CI76" s="930">
        <f t="shared" si="268"/>
        <v>3</v>
      </c>
      <c r="CJ76" s="998">
        <f t="shared" si="269"/>
        <v>0.4</v>
      </c>
      <c r="CK76" s="1000">
        <f>Matryca!Q76</f>
        <v>2</v>
      </c>
      <c r="CL76" s="1001">
        <f>Matryca!R76</f>
        <v>4</v>
      </c>
      <c r="CM76" s="1002">
        <f>Matryca!S76</f>
        <v>4</v>
      </c>
    </row>
    <row r="77" spans="1:91" s="44" customFormat="1" ht="30" customHeight="1" x14ac:dyDescent="0.25">
      <c r="A77" s="45">
        <v>56</v>
      </c>
      <c r="B77" s="47"/>
      <c r="C77" s="46" t="s">
        <v>107</v>
      </c>
      <c r="D77" s="46"/>
      <c r="E77" s="47">
        <v>3</v>
      </c>
      <c r="F77" s="46" t="s">
        <v>469</v>
      </c>
      <c r="G77" s="46" t="s">
        <v>59</v>
      </c>
      <c r="H77" s="48"/>
      <c r="I77" s="194" t="s">
        <v>698</v>
      </c>
      <c r="J77" s="118"/>
      <c r="K77" s="118"/>
      <c r="L77" s="122" t="s">
        <v>418</v>
      </c>
      <c r="M77" s="49">
        <f t="shared" ref="M77:M79" si="287">Y77+AV77</f>
        <v>38</v>
      </c>
      <c r="N77" s="50">
        <f t="shared" ref="N77:N79" si="288">AS77+BP77</f>
        <v>3</v>
      </c>
      <c r="O77" s="54">
        <f t="shared" ref="O77:O79" si="289">Z77+AW77</f>
        <v>35</v>
      </c>
      <c r="P77" s="424">
        <f t="shared" ref="P77:P79" si="290">AA77+AX77</f>
        <v>35</v>
      </c>
      <c r="Q77" s="52">
        <f t="shared" ref="Q77:Q79" si="291">X77+AU77</f>
        <v>1.5</v>
      </c>
      <c r="R77" s="76">
        <f t="shared" ref="R77:R79" si="292">IFERROR((AL77+BI77)*Q77/O77," ")</f>
        <v>0</v>
      </c>
      <c r="S77" s="76">
        <f t="shared" si="255"/>
        <v>0</v>
      </c>
      <c r="T77" s="39">
        <f t="shared" ref="T77:T79" si="293">IFERROR((AC77+AO77+AZ77+BL77)*Q77/O77," ")</f>
        <v>0</v>
      </c>
      <c r="U77" s="187">
        <f t="shared" si="257"/>
        <v>1.381578947368421</v>
      </c>
      <c r="V77" s="201" t="s">
        <v>99</v>
      </c>
      <c r="W77" s="55" t="s">
        <v>99</v>
      </c>
      <c r="X77" s="155">
        <v>1.5</v>
      </c>
      <c r="Y77" s="53">
        <f t="shared" ref="Y77:Y79" si="294">AS77+Z77</f>
        <v>38</v>
      </c>
      <c r="Z77" s="54">
        <f t="shared" ref="Z77:Z79" si="295">AR77+AA77</f>
        <v>35</v>
      </c>
      <c r="AA77" s="419">
        <f t="shared" ref="AA77:AA79" si="296">(SUM(AB77:AQ77))-AC77</f>
        <v>35</v>
      </c>
      <c r="AB77" s="674"/>
      <c r="AC77" s="286"/>
      <c r="AD77" s="265">
        <v>5</v>
      </c>
      <c r="AE77" s="265"/>
      <c r="AF77" s="265">
        <v>30</v>
      </c>
      <c r="AG77" s="265"/>
      <c r="AH77" s="265"/>
      <c r="AI77" s="265"/>
      <c r="AJ77" s="265"/>
      <c r="AK77" s="265"/>
      <c r="AL77" s="265"/>
      <c r="AM77" s="265"/>
      <c r="AN77" s="265"/>
      <c r="AO77" s="265"/>
      <c r="AP77" s="265"/>
      <c r="AQ77" s="265"/>
      <c r="AR77" s="278"/>
      <c r="AS77" s="675">
        <v>3</v>
      </c>
      <c r="AT77" s="55"/>
      <c r="AU77" s="155"/>
      <c r="AV77" s="49">
        <f t="shared" ref="AV77:AV79" si="297">BP77+AW77</f>
        <v>0</v>
      </c>
      <c r="AW77" s="54">
        <f t="shared" ref="AW77:AW79" si="298">BO77+AX77</f>
        <v>0</v>
      </c>
      <c r="AX77" s="424">
        <f t="shared" ref="AX77:AX79" si="299">(SUM(AY77:BN77))-AZ77</f>
        <v>0</v>
      </c>
      <c r="AY77" s="265"/>
      <c r="AZ77" s="286"/>
      <c r="BA77" s="265"/>
      <c r="BB77" s="265"/>
      <c r="BC77" s="265"/>
      <c r="BD77" s="265"/>
      <c r="BE77" s="265"/>
      <c r="BF77" s="265"/>
      <c r="BG77" s="265"/>
      <c r="BH77" s="265"/>
      <c r="BI77" s="265"/>
      <c r="BJ77" s="265"/>
      <c r="BK77" s="265"/>
      <c r="BL77" s="265"/>
      <c r="BM77" s="265"/>
      <c r="BN77" s="265"/>
      <c r="BO77" s="278"/>
      <c r="BP77" s="309"/>
      <c r="BQ77" s="142">
        <f t="shared" si="264"/>
        <v>25.333333333333332</v>
      </c>
      <c r="BR77" s="209" t="str">
        <f t="shared" ref="BR77" si="300">IF(OR(BQ77&gt;30,BQ77&lt;25),"1 ECTS powinien mieścić się przedziale 25-30h","Wartość prawidłowa")</f>
        <v>Wartość prawidłowa</v>
      </c>
      <c r="BS77" s="926">
        <f t="shared" si="53"/>
        <v>35</v>
      </c>
      <c r="BT77" s="118">
        <f t="shared" si="54"/>
        <v>0</v>
      </c>
      <c r="BU77" s="118">
        <f t="shared" si="55"/>
        <v>0</v>
      </c>
      <c r="BV77" s="118">
        <f t="shared" si="56"/>
        <v>0</v>
      </c>
      <c r="BW77" s="118">
        <f t="shared" si="57"/>
        <v>3</v>
      </c>
      <c r="BX77" s="209">
        <f t="shared" si="58"/>
        <v>0</v>
      </c>
      <c r="BY77" s="927">
        <f t="shared" si="59"/>
        <v>38</v>
      </c>
      <c r="BZ77" s="928">
        <f t="shared" si="60"/>
        <v>1.381578947368421</v>
      </c>
      <c r="CA77" s="929">
        <f t="shared" si="61"/>
        <v>0</v>
      </c>
      <c r="CB77" s="929">
        <f t="shared" si="62"/>
        <v>0</v>
      </c>
      <c r="CC77" s="929">
        <f t="shared" si="63"/>
        <v>0</v>
      </c>
      <c r="CD77" s="929">
        <f t="shared" si="64"/>
        <v>0.11842105263157894</v>
      </c>
      <c r="CE77" s="949">
        <f t="shared" si="65"/>
        <v>0</v>
      </c>
      <c r="CF77" s="963">
        <f t="shared" si="66"/>
        <v>1.5</v>
      </c>
      <c r="CG77" s="957">
        <f t="shared" si="266"/>
        <v>35</v>
      </c>
      <c r="CH77" s="209">
        <f t="shared" si="267"/>
        <v>0</v>
      </c>
      <c r="CI77" s="930">
        <f t="shared" si="268"/>
        <v>1.381578947368421</v>
      </c>
      <c r="CJ77" s="998">
        <f t="shared" si="269"/>
        <v>0</v>
      </c>
      <c r="CK77" s="1000">
        <f>Matryca!Q77</f>
        <v>2</v>
      </c>
      <c r="CL77" s="1001">
        <f>Matryca!R77</f>
        <v>3</v>
      </c>
      <c r="CM77" s="1002">
        <f>Matryca!S77</f>
        <v>1</v>
      </c>
    </row>
    <row r="78" spans="1:91" s="44" customFormat="1" ht="30" customHeight="1" x14ac:dyDescent="0.25">
      <c r="A78" s="45">
        <v>57</v>
      </c>
      <c r="B78" s="47"/>
      <c r="C78" s="46" t="s">
        <v>107</v>
      </c>
      <c r="D78" s="46"/>
      <c r="E78" s="47">
        <v>3</v>
      </c>
      <c r="F78" s="46" t="s">
        <v>469</v>
      </c>
      <c r="G78" s="46" t="s">
        <v>59</v>
      </c>
      <c r="H78" s="48"/>
      <c r="I78" s="871" t="s">
        <v>697</v>
      </c>
      <c r="J78" s="118"/>
      <c r="K78" s="118"/>
      <c r="L78" s="122" t="s">
        <v>418</v>
      </c>
      <c r="M78" s="49">
        <f t="shared" ref="M78" si="301">Y78+AV78</f>
        <v>37</v>
      </c>
      <c r="N78" s="50">
        <f t="shared" ref="N78" si="302">AS78+BP78</f>
        <v>7</v>
      </c>
      <c r="O78" s="54">
        <f t="shared" ref="O78" si="303">Z78+AW78</f>
        <v>30</v>
      </c>
      <c r="P78" s="424">
        <f t="shared" ref="P78" si="304">AA78+AX78</f>
        <v>30</v>
      </c>
      <c r="Q78" s="52">
        <f t="shared" ref="Q78" si="305">X78+AU78</f>
        <v>1.5</v>
      </c>
      <c r="R78" s="76">
        <f t="shared" ref="R78" si="306">IFERROR((AL78+BI78)*Q78/O78," ")</f>
        <v>0</v>
      </c>
      <c r="S78" s="76">
        <f t="shared" si="255"/>
        <v>0</v>
      </c>
      <c r="T78" s="39">
        <f t="shared" ref="T78" si="307">IFERROR((AC78+AO78+AZ78+BL78)*Q78/O78," ")</f>
        <v>0</v>
      </c>
      <c r="U78" s="187">
        <f t="shared" si="257"/>
        <v>1.2162162162162162</v>
      </c>
      <c r="V78" s="201" t="s">
        <v>99</v>
      </c>
      <c r="W78" s="55"/>
      <c r="X78" s="155"/>
      <c r="Y78" s="53">
        <f t="shared" ref="Y78" si="308">AS78+Z78</f>
        <v>0</v>
      </c>
      <c r="Z78" s="54">
        <f t="shared" ref="Z78" si="309">AR78+AA78</f>
        <v>0</v>
      </c>
      <c r="AA78" s="419">
        <f t="shared" ref="AA78" si="310">(SUM(AB78:AQ78))-AC78</f>
        <v>0</v>
      </c>
      <c r="AB78" s="674"/>
      <c r="AC78" s="286"/>
      <c r="AD78" s="265"/>
      <c r="AE78" s="265"/>
      <c r="AF78" s="265"/>
      <c r="AG78" s="265"/>
      <c r="AH78" s="265"/>
      <c r="AI78" s="265"/>
      <c r="AJ78" s="265"/>
      <c r="AK78" s="265"/>
      <c r="AL78" s="265"/>
      <c r="AM78" s="265"/>
      <c r="AN78" s="265"/>
      <c r="AO78" s="265"/>
      <c r="AP78" s="265"/>
      <c r="AQ78" s="265"/>
      <c r="AR78" s="278"/>
      <c r="AS78" s="675"/>
      <c r="AT78" s="55" t="s">
        <v>99</v>
      </c>
      <c r="AU78" s="155">
        <v>1.5</v>
      </c>
      <c r="AV78" s="49">
        <f t="shared" ref="AV78" si="311">BP78+AW78</f>
        <v>37</v>
      </c>
      <c r="AW78" s="54">
        <f t="shared" ref="AW78" si="312">BO78+AX78</f>
        <v>30</v>
      </c>
      <c r="AX78" s="424">
        <f t="shared" ref="AX78" si="313">(SUM(AY78:BN78))-AZ78</f>
        <v>30</v>
      </c>
      <c r="AY78" s="265"/>
      <c r="AZ78" s="286"/>
      <c r="BA78" s="265"/>
      <c r="BB78" s="265"/>
      <c r="BC78" s="265">
        <v>30</v>
      </c>
      <c r="BD78" s="265"/>
      <c r="BE78" s="265"/>
      <c r="BF78" s="265"/>
      <c r="BG78" s="265"/>
      <c r="BH78" s="265"/>
      <c r="BI78" s="265"/>
      <c r="BJ78" s="265"/>
      <c r="BK78" s="265"/>
      <c r="BL78" s="265"/>
      <c r="BM78" s="265"/>
      <c r="BN78" s="265"/>
      <c r="BO78" s="278"/>
      <c r="BP78" s="309">
        <v>7</v>
      </c>
      <c r="BQ78" s="142">
        <f t="shared" si="264"/>
        <v>24.666666666666668</v>
      </c>
      <c r="BR78" s="209" t="str">
        <f t="shared" ref="BR78" si="314">IF(OR(BQ78&gt;30,BQ78&lt;25),"1 ECTS powinien mieścić się przedziale 25-30h","Wartość prawidłowa")</f>
        <v>1 ECTS powinien mieścić się przedziale 25-30h</v>
      </c>
      <c r="BS78" s="926">
        <f t="shared" si="53"/>
        <v>30</v>
      </c>
      <c r="BT78" s="118">
        <f t="shared" si="54"/>
        <v>0</v>
      </c>
      <c r="BU78" s="118">
        <f t="shared" si="55"/>
        <v>0</v>
      </c>
      <c r="BV78" s="118">
        <f t="shared" si="56"/>
        <v>0</v>
      </c>
      <c r="BW78" s="118">
        <f t="shared" si="57"/>
        <v>7</v>
      </c>
      <c r="BX78" s="209">
        <f t="shared" si="58"/>
        <v>0</v>
      </c>
      <c r="BY78" s="927">
        <f t="shared" si="59"/>
        <v>37</v>
      </c>
      <c r="BZ78" s="928">
        <f t="shared" si="60"/>
        <v>1.2162162162162162</v>
      </c>
      <c r="CA78" s="929">
        <f t="shared" si="61"/>
        <v>0</v>
      </c>
      <c r="CB78" s="929">
        <f t="shared" si="62"/>
        <v>0</v>
      </c>
      <c r="CC78" s="929">
        <f t="shared" si="63"/>
        <v>0</v>
      </c>
      <c r="CD78" s="929">
        <f t="shared" si="64"/>
        <v>0.28378378378378377</v>
      </c>
      <c r="CE78" s="949">
        <f t="shared" si="65"/>
        <v>0</v>
      </c>
      <c r="CF78" s="963">
        <f t="shared" si="66"/>
        <v>1.5</v>
      </c>
      <c r="CG78" s="957">
        <f t="shared" si="266"/>
        <v>30</v>
      </c>
      <c r="CH78" s="209">
        <f t="shared" si="267"/>
        <v>0</v>
      </c>
      <c r="CI78" s="930">
        <f t="shared" si="268"/>
        <v>1.2162162162162162</v>
      </c>
      <c r="CJ78" s="998">
        <f t="shared" si="269"/>
        <v>0</v>
      </c>
      <c r="CK78" s="1000">
        <f>Matryca!Q78</f>
        <v>2</v>
      </c>
      <c r="CL78" s="1001">
        <f>Matryca!R78</f>
        <v>4</v>
      </c>
      <c r="CM78" s="1002">
        <f>Matryca!S78</f>
        <v>1</v>
      </c>
    </row>
    <row r="79" spans="1:91" s="44" customFormat="1" ht="35.25" customHeight="1" thickBot="1" x14ac:dyDescent="0.3">
      <c r="A79" s="45">
        <v>58</v>
      </c>
      <c r="B79" s="665"/>
      <c r="C79" s="666" t="s">
        <v>107</v>
      </c>
      <c r="D79" s="666"/>
      <c r="E79" s="665">
        <v>3</v>
      </c>
      <c r="F79" s="666" t="s">
        <v>469</v>
      </c>
      <c r="G79" s="666" t="s">
        <v>59</v>
      </c>
      <c r="H79" s="667"/>
      <c r="I79" s="1097" t="s">
        <v>455</v>
      </c>
      <c r="J79" s="678"/>
      <c r="K79" s="678"/>
      <c r="L79" s="122" t="s">
        <v>417</v>
      </c>
      <c r="M79" s="679">
        <f t="shared" si="287"/>
        <v>125</v>
      </c>
      <c r="N79" s="680">
        <f t="shared" si="288"/>
        <v>55</v>
      </c>
      <c r="O79" s="681">
        <f t="shared" si="289"/>
        <v>70</v>
      </c>
      <c r="P79" s="682">
        <f t="shared" si="290"/>
        <v>70</v>
      </c>
      <c r="Q79" s="683">
        <f t="shared" si="291"/>
        <v>5</v>
      </c>
      <c r="R79" s="668">
        <f t="shared" si="292"/>
        <v>0</v>
      </c>
      <c r="S79" s="668">
        <f t="shared" si="255"/>
        <v>4.2857142857142856</v>
      </c>
      <c r="T79" s="291">
        <f t="shared" si="293"/>
        <v>0.7142857142857143</v>
      </c>
      <c r="U79" s="669">
        <f t="shared" si="257"/>
        <v>2.8</v>
      </c>
      <c r="V79" s="670" t="s">
        <v>56</v>
      </c>
      <c r="W79" s="59" t="s">
        <v>99</v>
      </c>
      <c r="X79" s="204">
        <v>5</v>
      </c>
      <c r="Y79" s="57">
        <f t="shared" si="294"/>
        <v>125</v>
      </c>
      <c r="Z79" s="58">
        <f t="shared" si="295"/>
        <v>70</v>
      </c>
      <c r="AA79" s="420">
        <f t="shared" si="296"/>
        <v>70</v>
      </c>
      <c r="AB79" s="677">
        <v>10</v>
      </c>
      <c r="AC79" s="284">
        <v>10</v>
      </c>
      <c r="AD79" s="285"/>
      <c r="AE79" s="684">
        <v>60</v>
      </c>
      <c r="AF79" s="684"/>
      <c r="AG79" s="684"/>
      <c r="AH79" s="684"/>
      <c r="AI79" s="684"/>
      <c r="AJ79" s="684"/>
      <c r="AK79" s="684"/>
      <c r="AL79" s="684"/>
      <c r="AM79" s="684"/>
      <c r="AN79" s="684"/>
      <c r="AO79" s="684"/>
      <c r="AP79" s="684"/>
      <c r="AQ79" s="684"/>
      <c r="AR79" s="685"/>
      <c r="AS79" s="686">
        <v>55</v>
      </c>
      <c r="AT79" s="43"/>
      <c r="AU79" s="205"/>
      <c r="AV79" s="49">
        <f t="shared" si="297"/>
        <v>0</v>
      </c>
      <c r="AW79" s="54">
        <f t="shared" si="298"/>
        <v>0</v>
      </c>
      <c r="AX79" s="424">
        <f t="shared" si="299"/>
        <v>0</v>
      </c>
      <c r="AY79" s="261"/>
      <c r="AZ79" s="274"/>
      <c r="BA79" s="266"/>
      <c r="BB79" s="266"/>
      <c r="BC79" s="266"/>
      <c r="BD79" s="266"/>
      <c r="BE79" s="266"/>
      <c r="BF79" s="266"/>
      <c r="BG79" s="266"/>
      <c r="BH79" s="266"/>
      <c r="BI79" s="266"/>
      <c r="BJ79" s="266"/>
      <c r="BK79" s="266"/>
      <c r="BL79" s="266"/>
      <c r="BM79" s="266"/>
      <c r="BN79" s="266"/>
      <c r="BO79" s="275"/>
      <c r="BP79" s="276"/>
      <c r="BQ79" s="141">
        <f t="shared" ref="BQ79" si="315">IFERROR(M79/Q79," ")</f>
        <v>25</v>
      </c>
      <c r="BR79" s="209" t="str">
        <f>IF(OR(BQ79&gt;30,BQ79&lt;25),"1 ECTS powinien mieścić się przedziale 25-30h","Wartość prawidłowa")</f>
        <v>Wartość prawidłowa</v>
      </c>
      <c r="BS79" s="926">
        <f t="shared" si="53"/>
        <v>60</v>
      </c>
      <c r="BT79" s="118">
        <f t="shared" si="54"/>
        <v>10</v>
      </c>
      <c r="BU79" s="118">
        <f t="shared" si="55"/>
        <v>0</v>
      </c>
      <c r="BV79" s="118">
        <f t="shared" si="56"/>
        <v>0</v>
      </c>
      <c r="BW79" s="118">
        <f t="shared" si="57"/>
        <v>55</v>
      </c>
      <c r="BX79" s="209">
        <f t="shared" si="58"/>
        <v>0</v>
      </c>
      <c r="BY79" s="927">
        <f t="shared" si="59"/>
        <v>125</v>
      </c>
      <c r="BZ79" s="928">
        <f t="shared" si="60"/>
        <v>2.4</v>
      </c>
      <c r="CA79" s="929">
        <f t="shared" si="61"/>
        <v>0.4</v>
      </c>
      <c r="CB79" s="929">
        <f t="shared" si="62"/>
        <v>0</v>
      </c>
      <c r="CC79" s="929">
        <f t="shared" si="63"/>
        <v>0</v>
      </c>
      <c r="CD79" s="929">
        <f t="shared" si="64"/>
        <v>2.2000000000000002</v>
      </c>
      <c r="CE79" s="949">
        <f t="shared" si="65"/>
        <v>0</v>
      </c>
      <c r="CF79" s="963">
        <f t="shared" si="66"/>
        <v>5</v>
      </c>
      <c r="CG79" s="957">
        <f t="shared" si="266"/>
        <v>70</v>
      </c>
      <c r="CH79" s="209">
        <f t="shared" si="267"/>
        <v>10</v>
      </c>
      <c r="CI79" s="930">
        <f t="shared" si="268"/>
        <v>2.8</v>
      </c>
      <c r="CJ79" s="998">
        <f t="shared" si="269"/>
        <v>0.4</v>
      </c>
      <c r="CK79" s="1000">
        <f>Matryca!Q79</f>
        <v>3</v>
      </c>
      <c r="CL79" s="1001">
        <f>Matryca!R79</f>
        <v>4</v>
      </c>
      <c r="CM79" s="1002">
        <f>Matryca!S79</f>
        <v>4</v>
      </c>
    </row>
    <row r="80" spans="1:91" s="44" customFormat="1" ht="32.25" customHeight="1" thickBot="1" x14ac:dyDescent="0.3">
      <c r="A80" s="292"/>
      <c r="B80" s="293"/>
      <c r="C80" s="294"/>
      <c r="D80" s="294"/>
      <c r="E80" s="293"/>
      <c r="F80" s="294"/>
      <c r="G80" s="294"/>
      <c r="H80" s="295"/>
      <c r="I80" s="296" t="s">
        <v>458</v>
      </c>
      <c r="J80" s="316">
        <f>COUNTIF(J62:J79,"tak")</f>
        <v>0</v>
      </c>
      <c r="K80" s="316">
        <f>COUNTIF(K62:K79,"tak")</f>
        <v>0</v>
      </c>
      <c r="L80" s="316">
        <f>COUNTIF(L62:L79,"tak")</f>
        <v>12</v>
      </c>
      <c r="M80" s="317">
        <f t="shared" ref="M80:AR80" si="316">SUM(M62:M79)</f>
        <v>1520</v>
      </c>
      <c r="N80" s="317">
        <f>SUM(N62:N79)</f>
        <v>455</v>
      </c>
      <c r="O80" s="317">
        <f t="shared" si="316"/>
        <v>1065</v>
      </c>
      <c r="P80" s="317">
        <f t="shared" si="316"/>
        <v>1065</v>
      </c>
      <c r="Q80" s="317">
        <f t="shared" si="316"/>
        <v>60</v>
      </c>
      <c r="R80" s="317">
        <f t="shared" si="316"/>
        <v>0</v>
      </c>
      <c r="S80" s="317">
        <f t="shared" si="316"/>
        <v>45.284126984126985</v>
      </c>
      <c r="T80" s="317">
        <f t="shared" si="316"/>
        <v>8.515873015873014</v>
      </c>
      <c r="U80" s="317">
        <f t="shared" si="316"/>
        <v>41.797795163584631</v>
      </c>
      <c r="V80" s="317">
        <f t="shared" si="316"/>
        <v>0</v>
      </c>
      <c r="W80" s="317">
        <f t="shared" si="316"/>
        <v>0</v>
      </c>
      <c r="X80" s="317">
        <f t="shared" si="316"/>
        <v>29.5</v>
      </c>
      <c r="Y80" s="317">
        <f t="shared" si="316"/>
        <v>748</v>
      </c>
      <c r="Z80" s="317">
        <f t="shared" si="316"/>
        <v>555</v>
      </c>
      <c r="AA80" s="317">
        <f t="shared" si="316"/>
        <v>555</v>
      </c>
      <c r="AB80" s="687">
        <f t="shared" si="316"/>
        <v>65</v>
      </c>
      <c r="AC80" s="317">
        <f t="shared" si="316"/>
        <v>65</v>
      </c>
      <c r="AD80" s="317">
        <f t="shared" si="316"/>
        <v>5</v>
      </c>
      <c r="AE80" s="317">
        <f>SUM(AE62:AE79)</f>
        <v>295</v>
      </c>
      <c r="AF80" s="317">
        <f t="shared" si="316"/>
        <v>30</v>
      </c>
      <c r="AG80" s="317">
        <f t="shared" si="316"/>
        <v>0</v>
      </c>
      <c r="AH80" s="317">
        <f t="shared" si="316"/>
        <v>0</v>
      </c>
      <c r="AI80" s="317">
        <f t="shared" si="316"/>
        <v>0</v>
      </c>
      <c r="AJ80" s="317">
        <f t="shared" si="316"/>
        <v>0</v>
      </c>
      <c r="AK80" s="317">
        <f t="shared" si="316"/>
        <v>0</v>
      </c>
      <c r="AL80" s="317">
        <f t="shared" si="316"/>
        <v>0</v>
      </c>
      <c r="AM80" s="317">
        <f t="shared" si="316"/>
        <v>0</v>
      </c>
      <c r="AN80" s="317">
        <f t="shared" si="316"/>
        <v>0</v>
      </c>
      <c r="AO80" s="317">
        <f t="shared" si="316"/>
        <v>0</v>
      </c>
      <c r="AP80" s="317">
        <f t="shared" si="316"/>
        <v>0</v>
      </c>
      <c r="AQ80" s="317">
        <f t="shared" si="316"/>
        <v>160</v>
      </c>
      <c r="AR80" s="317">
        <f t="shared" si="316"/>
        <v>0</v>
      </c>
      <c r="AS80" s="317">
        <f t="shared" ref="AS80:BP80" si="317">SUM(AS62:AS79)</f>
        <v>193</v>
      </c>
      <c r="AT80" s="317">
        <f t="shared" si="317"/>
        <v>0</v>
      </c>
      <c r="AU80" s="317">
        <f t="shared" si="317"/>
        <v>30.5</v>
      </c>
      <c r="AV80" s="317">
        <f t="shared" si="317"/>
        <v>772</v>
      </c>
      <c r="AW80" s="317">
        <f t="shared" si="317"/>
        <v>510</v>
      </c>
      <c r="AX80" s="317">
        <f t="shared" si="317"/>
        <v>510</v>
      </c>
      <c r="AY80" s="317">
        <f t="shared" si="317"/>
        <v>55</v>
      </c>
      <c r="AZ80" s="317">
        <f t="shared" si="317"/>
        <v>55</v>
      </c>
      <c r="BA80" s="317">
        <f t="shared" si="317"/>
        <v>0</v>
      </c>
      <c r="BB80" s="317">
        <f t="shared" si="317"/>
        <v>125</v>
      </c>
      <c r="BC80" s="317">
        <f t="shared" si="317"/>
        <v>140</v>
      </c>
      <c r="BD80" s="317">
        <f t="shared" si="317"/>
        <v>0</v>
      </c>
      <c r="BE80" s="317">
        <f t="shared" si="317"/>
        <v>0</v>
      </c>
      <c r="BF80" s="317">
        <f t="shared" si="317"/>
        <v>0</v>
      </c>
      <c r="BG80" s="317">
        <f t="shared" si="317"/>
        <v>0</v>
      </c>
      <c r="BH80" s="317">
        <f t="shared" si="317"/>
        <v>30</v>
      </c>
      <c r="BI80" s="317">
        <f t="shared" si="317"/>
        <v>0</v>
      </c>
      <c r="BJ80" s="317">
        <f t="shared" si="317"/>
        <v>0</v>
      </c>
      <c r="BK80" s="317">
        <f t="shared" si="317"/>
        <v>0</v>
      </c>
      <c r="BL80" s="317">
        <f t="shared" si="317"/>
        <v>0</v>
      </c>
      <c r="BM80" s="317">
        <f t="shared" si="317"/>
        <v>0</v>
      </c>
      <c r="BN80" s="317">
        <f t="shared" si="317"/>
        <v>160</v>
      </c>
      <c r="BO80" s="317">
        <f t="shared" si="317"/>
        <v>0</v>
      </c>
      <c r="BP80" s="317">
        <f t="shared" si="317"/>
        <v>262</v>
      </c>
      <c r="BQ80" s="300"/>
      <c r="BR80" s="318"/>
      <c r="BS80" s="317">
        <f t="shared" ref="BS80:CJ80" si="318">SUM(BS62:BS79)</f>
        <v>625</v>
      </c>
      <c r="BT80" s="317">
        <f t="shared" si="318"/>
        <v>120</v>
      </c>
      <c r="BU80" s="317">
        <f t="shared" si="318"/>
        <v>0</v>
      </c>
      <c r="BV80" s="317">
        <f t="shared" si="318"/>
        <v>0</v>
      </c>
      <c r="BW80" s="317">
        <f t="shared" si="318"/>
        <v>455</v>
      </c>
      <c r="BX80" s="317">
        <f t="shared" si="318"/>
        <v>320</v>
      </c>
      <c r="BY80" s="317">
        <f t="shared" si="318"/>
        <v>1520</v>
      </c>
      <c r="BZ80" s="933">
        <f t="shared" si="318"/>
        <v>24.997795163584641</v>
      </c>
      <c r="CA80" s="933">
        <f t="shared" si="318"/>
        <v>4.8</v>
      </c>
      <c r="CB80" s="933">
        <f t="shared" si="318"/>
        <v>0</v>
      </c>
      <c r="CC80" s="933">
        <f t="shared" si="318"/>
        <v>0</v>
      </c>
      <c r="CD80" s="933">
        <f t="shared" si="318"/>
        <v>18.202204836415362</v>
      </c>
      <c r="CE80" s="952">
        <f t="shared" si="318"/>
        <v>12</v>
      </c>
      <c r="CF80" s="966">
        <f t="shared" si="318"/>
        <v>60</v>
      </c>
      <c r="CG80" s="958">
        <f t="shared" si="318"/>
        <v>1065</v>
      </c>
      <c r="CH80" s="317">
        <f t="shared" si="318"/>
        <v>120</v>
      </c>
      <c r="CI80" s="317">
        <f t="shared" si="318"/>
        <v>41.797795163584631</v>
      </c>
      <c r="CJ80" s="999">
        <f t="shared" si="318"/>
        <v>4.8</v>
      </c>
      <c r="CK80" s="999">
        <f>Matryca!Q80</f>
        <v>26</v>
      </c>
      <c r="CL80" s="999">
        <f>Matryca!R80</f>
        <v>78</v>
      </c>
      <c r="CM80" s="999">
        <f>Matryca!S80</f>
        <v>33</v>
      </c>
    </row>
    <row r="81" spans="1:91" s="44" customFormat="1" ht="30" customHeight="1" x14ac:dyDescent="0.25">
      <c r="A81" s="45">
        <v>59</v>
      </c>
      <c r="B81" s="47"/>
      <c r="C81" s="46" t="s">
        <v>107</v>
      </c>
      <c r="D81" s="46"/>
      <c r="E81" s="31">
        <v>4</v>
      </c>
      <c r="F81" s="32" t="s">
        <v>470</v>
      </c>
      <c r="G81" s="46" t="s">
        <v>59</v>
      </c>
      <c r="H81" s="118"/>
      <c r="I81" s="118" t="s">
        <v>466</v>
      </c>
      <c r="J81" s="118"/>
      <c r="K81" s="118"/>
      <c r="L81" s="1089" t="s">
        <v>417</v>
      </c>
      <c r="M81" s="49">
        <f t="shared" ref="M81:M85" si="319">Y81+AV81</f>
        <v>100</v>
      </c>
      <c r="N81" s="50">
        <f t="shared" ref="N81:N85" si="320">AS81+BP81</f>
        <v>25</v>
      </c>
      <c r="O81" s="54">
        <f t="shared" ref="O81:O85" si="321">Z81+AW81</f>
        <v>75</v>
      </c>
      <c r="P81" s="424">
        <f t="shared" ref="P81:P85" si="322">AA81+AX81</f>
        <v>75</v>
      </c>
      <c r="Q81" s="52">
        <f t="shared" ref="Q81:Q85" si="323">X81+AU81</f>
        <v>4</v>
      </c>
      <c r="R81" s="76">
        <f t="shared" ref="R81:R85" si="324">IFERROR((AL81+BI81)*Q81/O81," ")</f>
        <v>0</v>
      </c>
      <c r="S81" s="76">
        <f t="shared" ref="S81:S85" si="325">IFERROR(IF(L81="tak",(SUM(AE81:AL81,AQ81,BB81:BI81,BN81))*Q81/O81,0),0)</f>
        <v>3.4666666666666668</v>
      </c>
      <c r="T81" s="39">
        <f t="shared" ref="T81:T85" si="326">IFERROR((AC81+AO81+AZ81+BL81)*Q81/O81," ")</f>
        <v>0.53333333333333333</v>
      </c>
      <c r="U81" s="187">
        <f t="shared" ref="U81:U85" si="327">IFERROR((SUM(AB81,AD81:AN81,AY81,BA81:BK81,AP81:AQ81,BM81:BN81)*Q81/M81)," ")</f>
        <v>3</v>
      </c>
      <c r="V81" s="201" t="s">
        <v>56</v>
      </c>
      <c r="W81" s="55"/>
      <c r="X81" s="155"/>
      <c r="Y81" s="53">
        <f t="shared" ref="Y81:Y85" si="328">AS81+Z81</f>
        <v>0</v>
      </c>
      <c r="Z81" s="54">
        <f t="shared" ref="Z81:Z85" si="329">AR81+AA81</f>
        <v>0</v>
      </c>
      <c r="AA81" s="419">
        <f t="shared" ref="AA81:AA83" si="330">(SUM(AB81:AQ81))-AC81</f>
        <v>0</v>
      </c>
      <c r="AB81" s="265"/>
      <c r="AC81" s="286"/>
      <c r="AD81" s="265"/>
      <c r="AE81" s="265"/>
      <c r="AF81" s="265"/>
      <c r="AG81" s="265"/>
      <c r="AH81" s="265"/>
      <c r="AI81" s="265"/>
      <c r="AJ81" s="265"/>
      <c r="AK81" s="265"/>
      <c r="AL81" s="265"/>
      <c r="AM81" s="265"/>
      <c r="AN81" s="265"/>
      <c r="AO81" s="265"/>
      <c r="AP81" s="265"/>
      <c r="AQ81" s="265"/>
      <c r="AR81" s="278"/>
      <c r="AS81" s="279"/>
      <c r="AT81" s="45" t="s">
        <v>99</v>
      </c>
      <c r="AU81" s="155">
        <v>4</v>
      </c>
      <c r="AV81" s="49">
        <f t="shared" ref="AV81:AV85" si="331">BP81+AW81</f>
        <v>100</v>
      </c>
      <c r="AW81" s="54">
        <f t="shared" ref="AW81:AW85" si="332">BO81+AX81</f>
        <v>75</v>
      </c>
      <c r="AX81" s="424">
        <f t="shared" ref="AX81:AX85" si="333">(SUM(AY81:BN81))-AZ81</f>
        <v>75</v>
      </c>
      <c r="AY81" s="265">
        <v>10</v>
      </c>
      <c r="AZ81" s="286">
        <v>10</v>
      </c>
      <c r="BA81" s="265"/>
      <c r="BB81" s="265">
        <v>20</v>
      </c>
      <c r="BC81" s="265"/>
      <c r="BD81" s="265"/>
      <c r="BE81" s="265"/>
      <c r="BF81" s="265"/>
      <c r="BG81" s="265"/>
      <c r="BH81" s="265">
        <v>45</v>
      </c>
      <c r="BI81" s="265"/>
      <c r="BJ81" s="265"/>
      <c r="BK81" s="265"/>
      <c r="BL81" s="265"/>
      <c r="BM81" s="265"/>
      <c r="BN81" s="265"/>
      <c r="BO81" s="278"/>
      <c r="BP81" s="309">
        <v>25</v>
      </c>
      <c r="BQ81" s="142">
        <f t="shared" ref="BQ81:BQ85" si="334">IFERROR(M81/Q81," ")</f>
        <v>25</v>
      </c>
      <c r="BR81" s="209" t="str">
        <f t="shared" ref="BR81:BR85" si="335">IF(OR(BQ81&gt;30,BQ81&lt;25),"1 ECTS powinien mieścić się przedziale 25-30h","Wartość prawidłowa")</f>
        <v>Wartość prawidłowa</v>
      </c>
      <c r="BS81" s="926">
        <f t="shared" ref="BS81:BS85" si="336">SUM(AB81,AD81:AP81,AY81,BA81:BM81)-AC81-AZ81-AO81-BL81</f>
        <v>65</v>
      </c>
      <c r="BT81" s="118">
        <f t="shared" ref="BT81:BT85" si="337">AC81+AZ81</f>
        <v>10</v>
      </c>
      <c r="BU81" s="118">
        <f t="shared" ref="BU81:BU85" si="338">AO81+BL81</f>
        <v>0</v>
      </c>
      <c r="BV81" s="118">
        <f t="shared" ref="BV81:BV85" si="339">AR81+BO81</f>
        <v>0</v>
      </c>
      <c r="BW81" s="118">
        <f t="shared" ref="BW81:BW85" si="340">N81</f>
        <v>25</v>
      </c>
      <c r="BX81" s="209">
        <f t="shared" ref="BX81:BX85" si="341">AQ81+BN81</f>
        <v>0</v>
      </c>
      <c r="BY81" s="927">
        <f t="shared" ref="BY81:BY85" si="342">SUM(BS81:BX81)</f>
        <v>100</v>
      </c>
      <c r="BZ81" s="928">
        <f t="shared" ref="BZ81:BZ85" si="343">IFERROR((BS81*Q81)/BY81," ")</f>
        <v>2.6</v>
      </c>
      <c r="CA81" s="929">
        <f t="shared" ref="CA81:CA85" si="344">IFERROR((BT81*Q81)/BY81," ")</f>
        <v>0.4</v>
      </c>
      <c r="CB81" s="929">
        <f t="shared" ref="CB81:CB85" si="345">IFERROR((BU81*Q81)/BY81," ")</f>
        <v>0</v>
      </c>
      <c r="CC81" s="929">
        <f t="shared" ref="CC81:CC85" si="346">IFERROR((BV81*Q81)/BY81," ")</f>
        <v>0</v>
      </c>
      <c r="CD81" s="929">
        <f t="shared" ref="CD81:CD85" si="347">IFERROR((BW81*Q81)/BY81," ")</f>
        <v>1</v>
      </c>
      <c r="CE81" s="949">
        <f t="shared" ref="CE81:CE85" si="348">IFERROR((BX81*Q81)/BY81," ")</f>
        <v>0</v>
      </c>
      <c r="CF81" s="963">
        <f t="shared" ref="CF81:CF85" si="349">IFERROR((SUM(BZ81:CE81))," ")</f>
        <v>4</v>
      </c>
      <c r="CG81" s="957">
        <f t="shared" ref="CG81:CG85" si="350">SUM(BS81:BT81,BX81)</f>
        <v>75</v>
      </c>
      <c r="CH81" s="209">
        <f t="shared" ref="CH81:CH85" si="351">SUM(BT81:BU81)</f>
        <v>10</v>
      </c>
      <c r="CI81" s="930">
        <f t="shared" ref="CI81:CI85" si="352">SUM(BZ81:CA81,CE81)</f>
        <v>3</v>
      </c>
      <c r="CJ81" s="998">
        <f t="shared" ref="CJ81:CJ85" si="353">SUM(CA81:CB81)</f>
        <v>0.4</v>
      </c>
      <c r="CK81" s="1000">
        <f>Matryca!Q81</f>
        <v>4</v>
      </c>
      <c r="CL81" s="1001">
        <f>Matryca!R81</f>
        <v>5</v>
      </c>
      <c r="CM81" s="1002">
        <f>Matryca!S81</f>
        <v>1</v>
      </c>
    </row>
    <row r="82" spans="1:91" s="44" customFormat="1" ht="50.25" customHeight="1" x14ac:dyDescent="0.25">
      <c r="A82" s="45">
        <v>60</v>
      </c>
      <c r="B82" s="47"/>
      <c r="C82" s="61" t="s">
        <v>107</v>
      </c>
      <c r="D82" s="61"/>
      <c r="E82" s="31">
        <v>4</v>
      </c>
      <c r="F82" s="32" t="s">
        <v>470</v>
      </c>
      <c r="G82" s="61" t="s">
        <v>59</v>
      </c>
      <c r="H82" s="63"/>
      <c r="I82" s="121" t="s">
        <v>467</v>
      </c>
      <c r="J82" s="121"/>
      <c r="K82" s="121"/>
      <c r="L82" s="122" t="s">
        <v>418</v>
      </c>
      <c r="M82" s="49">
        <f t="shared" si="319"/>
        <v>50</v>
      </c>
      <c r="N82" s="50">
        <f t="shared" si="320"/>
        <v>30</v>
      </c>
      <c r="O82" s="54">
        <f t="shared" si="321"/>
        <v>20</v>
      </c>
      <c r="P82" s="424">
        <f t="shared" si="322"/>
        <v>20</v>
      </c>
      <c r="Q82" s="52">
        <f t="shared" si="323"/>
        <v>2</v>
      </c>
      <c r="R82" s="76">
        <f t="shared" si="324"/>
        <v>0</v>
      </c>
      <c r="S82" s="76">
        <f t="shared" si="325"/>
        <v>0</v>
      </c>
      <c r="T82" s="39">
        <f t="shared" si="326"/>
        <v>1</v>
      </c>
      <c r="U82" s="187">
        <f t="shared" si="327"/>
        <v>0.8</v>
      </c>
      <c r="V82" s="201" t="s">
        <v>99</v>
      </c>
      <c r="W82" s="55" t="s">
        <v>99</v>
      </c>
      <c r="X82" s="155">
        <v>2</v>
      </c>
      <c r="Y82" s="53">
        <f t="shared" si="328"/>
        <v>50</v>
      </c>
      <c r="Z82" s="54">
        <f t="shared" si="329"/>
        <v>20</v>
      </c>
      <c r="AA82" s="419">
        <f t="shared" si="330"/>
        <v>20</v>
      </c>
      <c r="AB82" s="265">
        <v>10</v>
      </c>
      <c r="AC82" s="286">
        <v>10</v>
      </c>
      <c r="AD82" s="265"/>
      <c r="AE82" s="886">
        <v>10</v>
      </c>
      <c r="AG82" s="265"/>
      <c r="AH82" s="265"/>
      <c r="AI82" s="265"/>
      <c r="AJ82" s="265"/>
      <c r="AK82" s="265"/>
      <c r="AL82" s="265"/>
      <c r="AM82" s="265"/>
      <c r="AN82" s="265"/>
      <c r="AO82" s="265"/>
      <c r="AP82" s="265"/>
      <c r="AQ82" s="265"/>
      <c r="AR82" s="278"/>
      <c r="AS82" s="279">
        <v>30</v>
      </c>
      <c r="AT82" s="45"/>
      <c r="AU82" s="155"/>
      <c r="AV82" s="49">
        <f t="shared" si="331"/>
        <v>0</v>
      </c>
      <c r="AW82" s="54">
        <f t="shared" si="332"/>
        <v>0</v>
      </c>
      <c r="AX82" s="424">
        <f t="shared" si="333"/>
        <v>0</v>
      </c>
      <c r="AY82" s="265"/>
      <c r="AZ82" s="286"/>
      <c r="BA82" s="265"/>
      <c r="BB82" s="265"/>
      <c r="BC82" s="265"/>
      <c r="BD82" s="265"/>
      <c r="BE82" s="265"/>
      <c r="BF82" s="265"/>
      <c r="BG82" s="265"/>
      <c r="BH82" s="265"/>
      <c r="BI82" s="265"/>
      <c r="BJ82" s="265"/>
      <c r="BK82" s="265"/>
      <c r="BL82" s="265"/>
      <c r="BM82" s="265"/>
      <c r="BN82" s="265"/>
      <c r="BO82" s="278"/>
      <c r="BP82" s="309"/>
      <c r="BQ82" s="142">
        <f t="shared" si="334"/>
        <v>25</v>
      </c>
      <c r="BR82" s="209" t="str">
        <f t="shared" si="335"/>
        <v>Wartość prawidłowa</v>
      </c>
      <c r="BS82" s="926">
        <f t="shared" si="336"/>
        <v>10</v>
      </c>
      <c r="BT82" s="118">
        <f t="shared" si="337"/>
        <v>10</v>
      </c>
      <c r="BU82" s="118">
        <f t="shared" si="338"/>
        <v>0</v>
      </c>
      <c r="BV82" s="118">
        <f t="shared" si="339"/>
        <v>0</v>
      </c>
      <c r="BW82" s="118">
        <f t="shared" si="340"/>
        <v>30</v>
      </c>
      <c r="BX82" s="209">
        <f t="shared" si="341"/>
        <v>0</v>
      </c>
      <c r="BY82" s="927">
        <f t="shared" si="342"/>
        <v>50</v>
      </c>
      <c r="BZ82" s="928">
        <f t="shared" si="343"/>
        <v>0.4</v>
      </c>
      <c r="CA82" s="929">
        <f t="shared" si="344"/>
        <v>0.4</v>
      </c>
      <c r="CB82" s="929">
        <f t="shared" si="345"/>
        <v>0</v>
      </c>
      <c r="CC82" s="929">
        <f t="shared" si="346"/>
        <v>0</v>
      </c>
      <c r="CD82" s="929">
        <f t="shared" si="347"/>
        <v>1.2</v>
      </c>
      <c r="CE82" s="949">
        <f t="shared" si="348"/>
        <v>0</v>
      </c>
      <c r="CF82" s="963">
        <f t="shared" si="349"/>
        <v>2</v>
      </c>
      <c r="CG82" s="957">
        <f t="shared" si="350"/>
        <v>20</v>
      </c>
      <c r="CH82" s="209">
        <f t="shared" si="351"/>
        <v>10</v>
      </c>
      <c r="CI82" s="930">
        <f t="shared" si="352"/>
        <v>0.8</v>
      </c>
      <c r="CJ82" s="998">
        <f t="shared" si="353"/>
        <v>0.4</v>
      </c>
      <c r="CK82" s="1000">
        <f>Matryca!Q82</f>
        <v>2</v>
      </c>
      <c r="CL82" s="1001">
        <f>Matryca!R82</f>
        <v>2</v>
      </c>
      <c r="CM82" s="1002">
        <f>Matryca!S82</f>
        <v>1</v>
      </c>
    </row>
    <row r="83" spans="1:91" s="44" customFormat="1" ht="110.25" x14ac:dyDescent="0.25">
      <c r="A83" s="45">
        <v>61</v>
      </c>
      <c r="B83" s="47"/>
      <c r="C83" s="46" t="s">
        <v>107</v>
      </c>
      <c r="D83" s="46"/>
      <c r="E83" s="31">
        <v>4</v>
      </c>
      <c r="F83" s="32" t="s">
        <v>470</v>
      </c>
      <c r="G83" s="46" t="s">
        <v>60</v>
      </c>
      <c r="H83" s="118"/>
      <c r="I83" s="1106" t="s">
        <v>958</v>
      </c>
      <c r="J83" s="118"/>
      <c r="K83" s="118"/>
      <c r="L83" s="122" t="s">
        <v>417</v>
      </c>
      <c r="M83" s="49">
        <f t="shared" si="319"/>
        <v>50</v>
      </c>
      <c r="N83" s="50">
        <f t="shared" si="320"/>
        <v>10</v>
      </c>
      <c r="O83" s="54">
        <f t="shared" si="321"/>
        <v>40</v>
      </c>
      <c r="P83" s="424">
        <f t="shared" si="322"/>
        <v>40</v>
      </c>
      <c r="Q83" s="52">
        <f t="shared" si="323"/>
        <v>2</v>
      </c>
      <c r="R83" s="76">
        <f t="shared" si="324"/>
        <v>0</v>
      </c>
      <c r="S83" s="76">
        <f t="shared" si="325"/>
        <v>2</v>
      </c>
      <c r="T83" s="39">
        <f t="shared" si="326"/>
        <v>0</v>
      </c>
      <c r="U83" s="187">
        <f t="shared" si="327"/>
        <v>1.6</v>
      </c>
      <c r="V83" s="201" t="s">
        <v>99</v>
      </c>
      <c r="W83" s="55" t="s">
        <v>99</v>
      </c>
      <c r="X83" s="155">
        <v>2</v>
      </c>
      <c r="Y83" s="53">
        <f t="shared" si="328"/>
        <v>50</v>
      </c>
      <c r="Z83" s="54">
        <f t="shared" si="329"/>
        <v>40</v>
      </c>
      <c r="AA83" s="419">
        <f t="shared" si="330"/>
        <v>40</v>
      </c>
      <c r="AB83" s="265"/>
      <c r="AC83" s="286"/>
      <c r="AD83" s="265"/>
      <c r="AE83" s="265">
        <v>40</v>
      </c>
      <c r="AF83" s="265"/>
      <c r="AG83" s="265"/>
      <c r="AH83" s="265"/>
      <c r="AI83" s="265"/>
      <c r="AJ83" s="265"/>
      <c r="AK83" s="265"/>
      <c r="AL83" s="265"/>
      <c r="AM83" s="265"/>
      <c r="AN83" s="265"/>
      <c r="AO83" s="265"/>
      <c r="AP83" s="265"/>
      <c r="AQ83" s="265"/>
      <c r="AR83" s="278"/>
      <c r="AS83" s="279">
        <v>10</v>
      </c>
      <c r="AT83" s="45"/>
      <c r="AU83" s="155"/>
      <c r="AV83" s="49">
        <f t="shared" si="331"/>
        <v>0</v>
      </c>
      <c r="AW83" s="54">
        <f t="shared" si="332"/>
        <v>0</v>
      </c>
      <c r="AX83" s="424">
        <f t="shared" si="333"/>
        <v>0</v>
      </c>
      <c r="AY83" s="265"/>
      <c r="AZ83" s="286"/>
      <c r="BA83" s="265"/>
      <c r="BB83" s="265"/>
      <c r="BC83" s="265"/>
      <c r="BD83" s="265"/>
      <c r="BE83" s="265"/>
      <c r="BF83" s="265"/>
      <c r="BG83" s="265"/>
      <c r="BH83" s="265"/>
      <c r="BI83" s="265"/>
      <c r="BJ83" s="265"/>
      <c r="BK83" s="265"/>
      <c r="BL83" s="265"/>
      <c r="BM83" s="265"/>
      <c r="BN83" s="265"/>
      <c r="BO83" s="278"/>
      <c r="BP83" s="309"/>
      <c r="BQ83" s="142">
        <f t="shared" si="334"/>
        <v>25</v>
      </c>
      <c r="BR83" s="209" t="str">
        <f t="shared" si="335"/>
        <v>Wartość prawidłowa</v>
      </c>
      <c r="BS83" s="926">
        <f t="shared" si="336"/>
        <v>40</v>
      </c>
      <c r="BT83" s="118">
        <f t="shared" si="337"/>
        <v>0</v>
      </c>
      <c r="BU83" s="118">
        <f t="shared" si="338"/>
        <v>0</v>
      </c>
      <c r="BV83" s="118">
        <f t="shared" si="339"/>
        <v>0</v>
      </c>
      <c r="BW83" s="118">
        <f t="shared" si="340"/>
        <v>10</v>
      </c>
      <c r="BX83" s="209">
        <f t="shared" si="341"/>
        <v>0</v>
      </c>
      <c r="BY83" s="927">
        <f t="shared" si="342"/>
        <v>50</v>
      </c>
      <c r="BZ83" s="928">
        <f t="shared" si="343"/>
        <v>1.6</v>
      </c>
      <c r="CA83" s="929">
        <f t="shared" si="344"/>
        <v>0</v>
      </c>
      <c r="CB83" s="929">
        <f t="shared" si="345"/>
        <v>0</v>
      </c>
      <c r="CC83" s="929">
        <f t="shared" si="346"/>
        <v>0</v>
      </c>
      <c r="CD83" s="929">
        <f t="shared" si="347"/>
        <v>0.4</v>
      </c>
      <c r="CE83" s="949">
        <f t="shared" si="348"/>
        <v>0</v>
      </c>
      <c r="CF83" s="963">
        <f t="shared" si="349"/>
        <v>2</v>
      </c>
      <c r="CG83" s="957">
        <f t="shared" si="350"/>
        <v>40</v>
      </c>
      <c r="CH83" s="209">
        <f t="shared" si="351"/>
        <v>0</v>
      </c>
      <c r="CI83" s="930">
        <f t="shared" si="352"/>
        <v>1.6</v>
      </c>
      <c r="CJ83" s="998">
        <f t="shared" si="353"/>
        <v>0</v>
      </c>
      <c r="CK83" s="1000">
        <f>Matryca!Q83</f>
        <v>0</v>
      </c>
      <c r="CL83" s="1001">
        <f>Matryca!R83</f>
        <v>0</v>
      </c>
      <c r="CM83" s="1002">
        <f>Matryca!S83</f>
        <v>0</v>
      </c>
    </row>
    <row r="84" spans="1:91" s="44" customFormat="1" ht="62.25" customHeight="1" x14ac:dyDescent="0.25">
      <c r="A84" s="45">
        <v>62</v>
      </c>
      <c r="B84" s="47"/>
      <c r="C84" s="61" t="s">
        <v>107</v>
      </c>
      <c r="D84" s="61"/>
      <c r="E84" s="31">
        <v>4</v>
      </c>
      <c r="F84" s="32" t="s">
        <v>470</v>
      </c>
      <c r="G84" s="61" t="s">
        <v>60</v>
      </c>
      <c r="H84" s="63"/>
      <c r="I84" s="1103" t="s">
        <v>956</v>
      </c>
      <c r="J84" s="121"/>
      <c r="K84" s="121"/>
      <c r="L84" s="122" t="s">
        <v>418</v>
      </c>
      <c r="M84" s="49">
        <f t="shared" si="319"/>
        <v>75</v>
      </c>
      <c r="N84" s="50">
        <f t="shared" si="320"/>
        <v>15</v>
      </c>
      <c r="O84" s="54">
        <f t="shared" si="321"/>
        <v>60</v>
      </c>
      <c r="P84" s="424">
        <f t="shared" si="322"/>
        <v>60</v>
      </c>
      <c r="Q84" s="52">
        <f t="shared" si="323"/>
        <v>3</v>
      </c>
      <c r="R84" s="76">
        <f t="shared" si="324"/>
        <v>0</v>
      </c>
      <c r="S84" s="76">
        <f t="shared" si="325"/>
        <v>0</v>
      </c>
      <c r="T84" s="39">
        <f t="shared" si="326"/>
        <v>1</v>
      </c>
      <c r="U84" s="187">
        <f t="shared" si="327"/>
        <v>2.4</v>
      </c>
      <c r="V84" s="201" t="s">
        <v>99</v>
      </c>
      <c r="W84" s="45" t="s">
        <v>99</v>
      </c>
      <c r="X84" s="155">
        <v>3</v>
      </c>
      <c r="Y84" s="53">
        <f t="shared" si="328"/>
        <v>75</v>
      </c>
      <c r="Z84" s="54">
        <f t="shared" si="329"/>
        <v>60</v>
      </c>
      <c r="AA84" s="419">
        <f t="shared" ref="AA84" si="354">(SUM(AB84:AQ84))-AC84</f>
        <v>60</v>
      </c>
      <c r="AB84" s="265">
        <v>20</v>
      </c>
      <c r="AC84" s="286">
        <v>20</v>
      </c>
      <c r="AD84" s="265"/>
      <c r="AE84" s="265">
        <v>40</v>
      </c>
      <c r="AF84" s="265"/>
      <c r="AG84" s="265"/>
      <c r="AH84" s="265"/>
      <c r="AI84" s="265"/>
      <c r="AJ84" s="265"/>
      <c r="AK84" s="265"/>
      <c r="AL84" s="265"/>
      <c r="AM84" s="265"/>
      <c r="AN84" s="265"/>
      <c r="AO84" s="265"/>
      <c r="AP84" s="265"/>
      <c r="AQ84" s="265"/>
      <c r="AR84" s="278"/>
      <c r="AS84" s="309">
        <v>15</v>
      </c>
      <c r="AT84" s="45"/>
      <c r="AU84" s="155"/>
      <c r="AV84" s="49">
        <f t="shared" si="331"/>
        <v>0</v>
      </c>
      <c r="AW84" s="54">
        <f t="shared" si="332"/>
        <v>0</v>
      </c>
      <c r="AX84" s="424">
        <f t="shared" si="333"/>
        <v>0</v>
      </c>
      <c r="AY84" s="265"/>
      <c r="AZ84" s="286"/>
      <c r="BA84" s="265"/>
      <c r="BB84" s="265"/>
      <c r="BC84" s="265"/>
      <c r="BD84" s="265"/>
      <c r="BE84" s="265"/>
      <c r="BF84" s="265"/>
      <c r="BG84" s="265"/>
      <c r="BH84" s="265"/>
      <c r="BI84" s="265"/>
      <c r="BJ84" s="265"/>
      <c r="BK84" s="265"/>
      <c r="BL84" s="265"/>
      <c r="BM84" s="265"/>
      <c r="BN84" s="265"/>
      <c r="BO84" s="278"/>
      <c r="BP84" s="309"/>
      <c r="BQ84" s="142">
        <f t="shared" si="334"/>
        <v>25</v>
      </c>
      <c r="BR84" s="209" t="str">
        <f t="shared" si="335"/>
        <v>Wartość prawidłowa</v>
      </c>
      <c r="BS84" s="926">
        <f t="shared" si="336"/>
        <v>40</v>
      </c>
      <c r="BT84" s="118">
        <f t="shared" si="337"/>
        <v>20</v>
      </c>
      <c r="BU84" s="118">
        <f t="shared" si="338"/>
        <v>0</v>
      </c>
      <c r="BV84" s="118">
        <f t="shared" si="339"/>
        <v>0</v>
      </c>
      <c r="BW84" s="118">
        <f t="shared" si="340"/>
        <v>15</v>
      </c>
      <c r="BX84" s="209">
        <f t="shared" si="341"/>
        <v>0</v>
      </c>
      <c r="BY84" s="927">
        <f t="shared" si="342"/>
        <v>75</v>
      </c>
      <c r="BZ84" s="928">
        <f t="shared" si="343"/>
        <v>1.6</v>
      </c>
      <c r="CA84" s="929">
        <f t="shared" si="344"/>
        <v>0.8</v>
      </c>
      <c r="CB84" s="929">
        <f t="shared" si="345"/>
        <v>0</v>
      </c>
      <c r="CC84" s="929">
        <f t="shared" si="346"/>
        <v>0</v>
      </c>
      <c r="CD84" s="929">
        <f t="shared" si="347"/>
        <v>0.6</v>
      </c>
      <c r="CE84" s="949">
        <f t="shared" si="348"/>
        <v>0</v>
      </c>
      <c r="CF84" s="963">
        <f t="shared" si="349"/>
        <v>3.0000000000000004</v>
      </c>
      <c r="CG84" s="957">
        <f t="shared" si="350"/>
        <v>60</v>
      </c>
      <c r="CH84" s="209">
        <f t="shared" si="351"/>
        <v>20</v>
      </c>
      <c r="CI84" s="930">
        <f t="shared" si="352"/>
        <v>2.4000000000000004</v>
      </c>
      <c r="CJ84" s="998">
        <f t="shared" si="353"/>
        <v>0.8</v>
      </c>
      <c r="CK84" s="1000">
        <f>Matryca!Q84</f>
        <v>0</v>
      </c>
      <c r="CL84" s="1001">
        <f>Matryca!R84</f>
        <v>0</v>
      </c>
      <c r="CM84" s="1002">
        <f>Matryca!S84</f>
        <v>0</v>
      </c>
    </row>
    <row r="85" spans="1:91" s="44" customFormat="1" ht="76.5" customHeight="1" x14ac:dyDescent="0.25">
      <c r="A85" s="45">
        <v>63</v>
      </c>
      <c r="B85" s="62"/>
      <c r="C85" s="61" t="s">
        <v>107</v>
      </c>
      <c r="D85" s="61"/>
      <c r="E85" s="31">
        <v>4</v>
      </c>
      <c r="F85" s="32" t="s">
        <v>470</v>
      </c>
      <c r="G85" s="61" t="s">
        <v>60</v>
      </c>
      <c r="H85" s="121"/>
      <c r="I85" s="1103" t="s">
        <v>957</v>
      </c>
      <c r="J85" s="121"/>
      <c r="K85" s="121"/>
      <c r="L85" s="122" t="s">
        <v>417</v>
      </c>
      <c r="M85" s="65">
        <f t="shared" si="319"/>
        <v>100</v>
      </c>
      <c r="N85" s="66">
        <f t="shared" si="320"/>
        <v>40</v>
      </c>
      <c r="O85" s="72">
        <f t="shared" si="321"/>
        <v>60</v>
      </c>
      <c r="P85" s="425">
        <f t="shared" si="322"/>
        <v>60</v>
      </c>
      <c r="Q85" s="69">
        <f t="shared" si="323"/>
        <v>4</v>
      </c>
      <c r="R85" s="215">
        <f t="shared" si="324"/>
        <v>0</v>
      </c>
      <c r="S85" s="215">
        <f t="shared" si="325"/>
        <v>3.3333333333333335</v>
      </c>
      <c r="T85" s="70">
        <f t="shared" si="326"/>
        <v>0.66666666666666663</v>
      </c>
      <c r="U85" s="324">
        <f t="shared" si="327"/>
        <v>2.4</v>
      </c>
      <c r="V85" s="216" t="s">
        <v>99</v>
      </c>
      <c r="W85" s="89"/>
      <c r="X85" s="206"/>
      <c r="Y85" s="71">
        <f t="shared" si="328"/>
        <v>0</v>
      </c>
      <c r="Z85" s="72">
        <f t="shared" si="329"/>
        <v>0</v>
      </c>
      <c r="AA85" s="423">
        <f t="shared" ref="AA85" si="355">(SUM(AB85:AQ85))-AC85</f>
        <v>0</v>
      </c>
      <c r="AB85" s="262"/>
      <c r="AC85" s="280"/>
      <c r="AD85" s="281"/>
      <c r="AE85" s="281"/>
      <c r="AF85" s="281"/>
      <c r="AG85" s="281"/>
      <c r="AH85" s="281"/>
      <c r="AI85" s="281"/>
      <c r="AJ85" s="281"/>
      <c r="AK85" s="281"/>
      <c r="AL85" s="281"/>
      <c r="AM85" s="281"/>
      <c r="AN85" s="281"/>
      <c r="AO85" s="281"/>
      <c r="AP85" s="281"/>
      <c r="AQ85" s="281"/>
      <c r="AR85" s="282"/>
      <c r="AS85" s="283"/>
      <c r="AT85" s="45" t="s">
        <v>99</v>
      </c>
      <c r="AU85" s="203">
        <v>4</v>
      </c>
      <c r="AV85" s="65">
        <f t="shared" si="331"/>
        <v>100</v>
      </c>
      <c r="AW85" s="72">
        <f t="shared" si="332"/>
        <v>60</v>
      </c>
      <c r="AX85" s="425">
        <f t="shared" si="333"/>
        <v>60</v>
      </c>
      <c r="AY85" s="281">
        <v>10</v>
      </c>
      <c r="AZ85" s="280">
        <v>10</v>
      </c>
      <c r="BA85" s="281"/>
      <c r="BB85" s="281">
        <v>50</v>
      </c>
      <c r="BC85" s="281"/>
      <c r="BD85" s="281"/>
      <c r="BE85" s="281"/>
      <c r="BF85" s="281"/>
      <c r="BG85" s="281"/>
      <c r="BH85" s="281"/>
      <c r="BI85" s="281"/>
      <c r="BJ85" s="281"/>
      <c r="BK85" s="281"/>
      <c r="BL85" s="281"/>
      <c r="BM85" s="281"/>
      <c r="BN85" s="281"/>
      <c r="BO85" s="282"/>
      <c r="BP85" s="283">
        <v>40</v>
      </c>
      <c r="BQ85" s="217">
        <f t="shared" si="334"/>
        <v>25</v>
      </c>
      <c r="BR85" s="210" t="str">
        <f t="shared" si="335"/>
        <v>Wartość prawidłowa</v>
      </c>
      <c r="BS85" s="926">
        <f t="shared" si="336"/>
        <v>50</v>
      </c>
      <c r="BT85" s="118">
        <f t="shared" si="337"/>
        <v>10</v>
      </c>
      <c r="BU85" s="118">
        <f t="shared" si="338"/>
        <v>0</v>
      </c>
      <c r="BV85" s="118">
        <f t="shared" si="339"/>
        <v>0</v>
      </c>
      <c r="BW85" s="118">
        <f t="shared" si="340"/>
        <v>40</v>
      </c>
      <c r="BX85" s="209">
        <f t="shared" si="341"/>
        <v>0</v>
      </c>
      <c r="BY85" s="927">
        <f t="shared" si="342"/>
        <v>100</v>
      </c>
      <c r="BZ85" s="928">
        <f t="shared" si="343"/>
        <v>2</v>
      </c>
      <c r="CA85" s="929">
        <f t="shared" si="344"/>
        <v>0.4</v>
      </c>
      <c r="CB85" s="929">
        <f t="shared" si="345"/>
        <v>0</v>
      </c>
      <c r="CC85" s="929">
        <f t="shared" si="346"/>
        <v>0</v>
      </c>
      <c r="CD85" s="929">
        <f t="shared" si="347"/>
        <v>1.6</v>
      </c>
      <c r="CE85" s="949">
        <f t="shared" si="348"/>
        <v>0</v>
      </c>
      <c r="CF85" s="963">
        <f t="shared" si="349"/>
        <v>4</v>
      </c>
      <c r="CG85" s="957">
        <f t="shared" si="350"/>
        <v>60</v>
      </c>
      <c r="CH85" s="209">
        <f t="shared" si="351"/>
        <v>10</v>
      </c>
      <c r="CI85" s="930">
        <f t="shared" si="352"/>
        <v>2.4</v>
      </c>
      <c r="CJ85" s="998">
        <f t="shared" si="353"/>
        <v>0.4</v>
      </c>
      <c r="CK85" s="1000">
        <f>Matryca!Q85</f>
        <v>0</v>
      </c>
      <c r="CL85" s="1001">
        <f>Matryca!R85</f>
        <v>0</v>
      </c>
      <c r="CM85" s="1002">
        <f>Matryca!S85</f>
        <v>0</v>
      </c>
    </row>
    <row r="86" spans="1:91" s="44" customFormat="1" ht="64.5" customHeight="1" x14ac:dyDescent="0.25">
      <c r="A86" s="45">
        <v>64</v>
      </c>
      <c r="B86" s="47"/>
      <c r="C86" s="46" t="s">
        <v>107</v>
      </c>
      <c r="D86" s="46"/>
      <c r="E86" s="31">
        <v>4</v>
      </c>
      <c r="F86" s="32" t="s">
        <v>470</v>
      </c>
      <c r="G86" s="46" t="s">
        <v>59</v>
      </c>
      <c r="H86" s="118"/>
      <c r="I86" s="598" t="s">
        <v>682</v>
      </c>
      <c r="J86" s="118"/>
      <c r="K86" s="118"/>
      <c r="L86" s="122" t="s">
        <v>417</v>
      </c>
      <c r="M86" s="49">
        <f t="shared" ref="M86:M96" si="356">Y86+AV86</f>
        <v>160</v>
      </c>
      <c r="N86" s="50">
        <f t="shared" ref="N86:N96" si="357">AS86+BP86</f>
        <v>0</v>
      </c>
      <c r="O86" s="54">
        <f t="shared" ref="O86:O96" si="358">Z86+AW86</f>
        <v>160</v>
      </c>
      <c r="P86" s="424">
        <f t="shared" ref="P86:P96" si="359">AA86+AX86</f>
        <v>160</v>
      </c>
      <c r="Q86" s="52">
        <f t="shared" ref="Q86:Q96" si="360">X86+AU86</f>
        <v>6</v>
      </c>
      <c r="R86" s="76">
        <f t="shared" ref="R86:R96" si="361">IFERROR((AL86+BI86)*Q86/O86," ")</f>
        <v>0</v>
      </c>
      <c r="S86" s="76">
        <f t="shared" ref="S86:S96" si="362">IFERROR(IF(L86="tak",(SUM(AE86:AL86,AQ86,BB86:BI86,BN86))*Q86/O86,0),0)</f>
        <v>6</v>
      </c>
      <c r="T86" s="39">
        <f t="shared" ref="T86:T96" si="363">IFERROR((AC86+AO86+AZ86+BL86)*Q86/O86," ")</f>
        <v>0</v>
      </c>
      <c r="U86" s="187">
        <f t="shared" ref="U86:U96" si="364">IFERROR((SUM(AB86,AD86:AN86,AY86,BA86:BK86,AP86:AQ86,BM86:BN86)*Q86/M86)," ")</f>
        <v>6</v>
      </c>
      <c r="V86" s="201" t="s">
        <v>99</v>
      </c>
      <c r="W86" s="55" t="s">
        <v>99</v>
      </c>
      <c r="X86" s="155">
        <v>6</v>
      </c>
      <c r="Y86" s="53">
        <f t="shared" ref="Y86:Y96" si="365">AS86+Z86</f>
        <v>160</v>
      </c>
      <c r="Z86" s="54">
        <f t="shared" ref="Z86:Z96" si="366">AR86+AA86</f>
        <v>160</v>
      </c>
      <c r="AA86" s="419">
        <f t="shared" ref="AA86:AA96" si="367">(SUM(AB86:AQ86))-AC86</f>
        <v>160</v>
      </c>
      <c r="AB86" s="265"/>
      <c r="AC86" s="286"/>
      <c r="AD86" s="265"/>
      <c r="AE86" s="265"/>
      <c r="AF86" s="265"/>
      <c r="AG86" s="265"/>
      <c r="AH86" s="265"/>
      <c r="AI86" s="265"/>
      <c r="AJ86" s="265"/>
      <c r="AK86" s="265"/>
      <c r="AL86" s="265"/>
      <c r="AM86" s="265"/>
      <c r="AN86" s="265"/>
      <c r="AO86" s="265"/>
      <c r="AP86" s="265"/>
      <c r="AQ86" s="265">
        <v>160</v>
      </c>
      <c r="AR86" s="278"/>
      <c r="AS86" s="279"/>
      <c r="AT86" s="45"/>
      <c r="AU86" s="155"/>
      <c r="AV86" s="49">
        <f t="shared" ref="AV86:AV96" si="368">BP86+AW86</f>
        <v>0</v>
      </c>
      <c r="AW86" s="54">
        <f t="shared" ref="AW86:AW96" si="369">BO86+AX86</f>
        <v>0</v>
      </c>
      <c r="AX86" s="424">
        <f t="shared" ref="AX86:AX96" si="370">(SUM(AY86:BN86))-AZ86</f>
        <v>0</v>
      </c>
      <c r="AY86" s="265"/>
      <c r="AZ86" s="286"/>
      <c r="BA86" s="265"/>
      <c r="BB86" s="265"/>
      <c r="BC86" s="265"/>
      <c r="BD86" s="265"/>
      <c r="BE86" s="265"/>
      <c r="BF86" s="265"/>
      <c r="BG86" s="265"/>
      <c r="BH86" s="265"/>
      <c r="BI86" s="265"/>
      <c r="BJ86" s="265"/>
      <c r="BK86" s="265"/>
      <c r="BL86" s="265"/>
      <c r="BM86" s="265"/>
      <c r="BN86" s="265"/>
      <c r="BO86" s="278"/>
      <c r="BP86" s="309"/>
      <c r="BQ86" s="142">
        <f t="shared" ref="BQ86:BQ96" si="371">IFERROR(M86/Q86," ")</f>
        <v>26.666666666666668</v>
      </c>
      <c r="BR86" s="209" t="str">
        <f t="shared" ref="BR86:BR96" si="372">IF(OR(BQ86&gt;30,BQ86&lt;25),"1 ECTS powinien mieścić się przedziale 25-30h","Wartość prawidłowa")</f>
        <v>Wartość prawidłowa</v>
      </c>
      <c r="BS86" s="926">
        <f t="shared" si="53"/>
        <v>0</v>
      </c>
      <c r="BT86" s="118">
        <f t="shared" si="54"/>
        <v>0</v>
      </c>
      <c r="BU86" s="118">
        <f t="shared" si="55"/>
        <v>0</v>
      </c>
      <c r="BV86" s="118">
        <f t="shared" si="56"/>
        <v>0</v>
      </c>
      <c r="BW86" s="118">
        <f t="shared" si="57"/>
        <v>0</v>
      </c>
      <c r="BX86" s="209">
        <f t="shared" si="58"/>
        <v>160</v>
      </c>
      <c r="BY86" s="927">
        <f t="shared" si="59"/>
        <v>160</v>
      </c>
      <c r="BZ86" s="928">
        <f t="shared" si="60"/>
        <v>0</v>
      </c>
      <c r="CA86" s="929">
        <f t="shared" si="61"/>
        <v>0</v>
      </c>
      <c r="CB86" s="929">
        <f t="shared" si="62"/>
        <v>0</v>
      </c>
      <c r="CC86" s="929">
        <f t="shared" si="63"/>
        <v>0</v>
      </c>
      <c r="CD86" s="929">
        <f t="shared" si="64"/>
        <v>0</v>
      </c>
      <c r="CE86" s="949">
        <f t="shared" si="65"/>
        <v>6</v>
      </c>
      <c r="CF86" s="963">
        <f t="shared" si="66"/>
        <v>6</v>
      </c>
      <c r="CG86" s="957">
        <f t="shared" ref="CG86:CG96" si="373">SUM(BS86:BT86,BX86)</f>
        <v>160</v>
      </c>
      <c r="CH86" s="209">
        <f t="shared" ref="CH86:CH96" si="374">SUM(BT86:BU86)</f>
        <v>0</v>
      </c>
      <c r="CI86" s="930">
        <f t="shared" ref="CI86:CI96" si="375">SUM(BZ86:CA86,CE86)</f>
        <v>6</v>
      </c>
      <c r="CJ86" s="998">
        <f t="shared" ref="CJ86:CJ96" si="376">SUM(CA86:CB86)</f>
        <v>0</v>
      </c>
      <c r="CK86" s="1000">
        <f>Matryca!Q86</f>
        <v>0</v>
      </c>
      <c r="CL86" s="1001">
        <f>Matryca!R86</f>
        <v>18</v>
      </c>
      <c r="CM86" s="1002">
        <f>Matryca!S86</f>
        <v>5</v>
      </c>
    </row>
    <row r="87" spans="1:91" s="44" customFormat="1" ht="37.5" customHeight="1" x14ac:dyDescent="0.25">
      <c r="A87" s="45">
        <v>65</v>
      </c>
      <c r="B87" s="47"/>
      <c r="C87" s="46" t="s">
        <v>107</v>
      </c>
      <c r="D87" s="46"/>
      <c r="E87" s="31">
        <v>4</v>
      </c>
      <c r="F87" s="32" t="s">
        <v>470</v>
      </c>
      <c r="G87" s="46" t="s">
        <v>59</v>
      </c>
      <c r="H87" s="118"/>
      <c r="I87" s="598" t="s">
        <v>683</v>
      </c>
      <c r="J87" s="118"/>
      <c r="K87" s="118"/>
      <c r="L87" s="122" t="s">
        <v>417</v>
      </c>
      <c r="M87" s="49">
        <f t="shared" ref="M87:M89" si="377">Y87+AV87</f>
        <v>160</v>
      </c>
      <c r="N87" s="50">
        <f t="shared" ref="N87:N89" si="378">AS87+BP87</f>
        <v>0</v>
      </c>
      <c r="O87" s="54">
        <f t="shared" ref="O87:O89" si="379">Z87+AW87</f>
        <v>160</v>
      </c>
      <c r="P87" s="424">
        <f t="shared" ref="P87:P89" si="380">AA87+AX87</f>
        <v>160</v>
      </c>
      <c r="Q87" s="52">
        <f t="shared" ref="Q87:Q89" si="381">X87+AU87</f>
        <v>6</v>
      </c>
      <c r="R87" s="76">
        <f t="shared" ref="R87:R89" si="382">IFERROR((AL87+BI87)*Q87/O87," ")</f>
        <v>0</v>
      </c>
      <c r="S87" s="76">
        <f t="shared" si="362"/>
        <v>6</v>
      </c>
      <c r="T87" s="39">
        <f t="shared" ref="T87:T89" si="383">IFERROR((AC87+AO87+AZ87+BL87)*Q87/O87," ")</f>
        <v>0</v>
      </c>
      <c r="U87" s="187">
        <f t="shared" si="364"/>
        <v>6</v>
      </c>
      <c r="V87" s="201" t="s">
        <v>99</v>
      </c>
      <c r="W87" s="55"/>
      <c r="X87" s="155"/>
      <c r="Y87" s="53">
        <f t="shared" ref="Y87:Y89" si="384">AS87+Z87</f>
        <v>0</v>
      </c>
      <c r="Z87" s="54">
        <f t="shared" ref="Z87:Z89" si="385">AR87+AA87</f>
        <v>0</v>
      </c>
      <c r="AA87" s="419">
        <f t="shared" ref="AA87:AA88" si="386">(SUM(AB87:AQ87))-AC87</f>
        <v>0</v>
      </c>
      <c r="AB87" s="265"/>
      <c r="AC87" s="286"/>
      <c r="AD87" s="265"/>
      <c r="AE87" s="265"/>
      <c r="AF87" s="265"/>
      <c r="AG87" s="265"/>
      <c r="AH87" s="265"/>
      <c r="AI87" s="265"/>
      <c r="AJ87" s="265"/>
      <c r="AK87" s="265"/>
      <c r="AL87" s="265"/>
      <c r="AM87" s="265"/>
      <c r="AN87" s="265"/>
      <c r="AO87" s="265"/>
      <c r="AP87" s="265"/>
      <c r="AQ87" s="265"/>
      <c r="AR87" s="278"/>
      <c r="AS87" s="279"/>
      <c r="AT87" s="45" t="s">
        <v>99</v>
      </c>
      <c r="AU87" s="155">
        <v>6</v>
      </c>
      <c r="AV87" s="49">
        <f t="shared" ref="AV87:AV89" si="387">BP87+AW87</f>
        <v>160</v>
      </c>
      <c r="AW87" s="54">
        <f t="shared" ref="AW87:AW89" si="388">BO87+AX87</f>
        <v>160</v>
      </c>
      <c r="AX87" s="424">
        <f t="shared" ref="AX87:AX88" si="389">(SUM(AY87:BN87))-AZ87</f>
        <v>160</v>
      </c>
      <c r="AY87" s="265"/>
      <c r="AZ87" s="286"/>
      <c r="BA87" s="265"/>
      <c r="BB87" s="265"/>
      <c r="BC87" s="265"/>
      <c r="BD87" s="265"/>
      <c r="BE87" s="265"/>
      <c r="BF87" s="265"/>
      <c r="BG87" s="265"/>
      <c r="BH87" s="265"/>
      <c r="BI87" s="265"/>
      <c r="BJ87" s="265"/>
      <c r="BK87" s="265"/>
      <c r="BL87" s="265"/>
      <c r="BM87" s="265"/>
      <c r="BN87" s="265">
        <v>160</v>
      </c>
      <c r="BO87" s="278"/>
      <c r="BP87" s="309"/>
      <c r="BQ87" s="142">
        <f t="shared" ref="BQ87:BQ89" si="390">IFERROR(M87/Q87," ")</f>
        <v>26.666666666666668</v>
      </c>
      <c r="BR87" s="209" t="str">
        <f t="shared" ref="BR87:BR89" si="391">IF(OR(BQ87&gt;30,BQ87&lt;25),"1 ECTS powinien mieścić się przedziale 25-30h","Wartość prawidłowa")</f>
        <v>Wartość prawidłowa</v>
      </c>
      <c r="BS87" s="926">
        <f t="shared" si="53"/>
        <v>0</v>
      </c>
      <c r="BT87" s="118">
        <f t="shared" si="54"/>
        <v>0</v>
      </c>
      <c r="BU87" s="118">
        <f t="shared" si="55"/>
        <v>0</v>
      </c>
      <c r="BV87" s="118">
        <f t="shared" si="56"/>
        <v>0</v>
      </c>
      <c r="BW87" s="118">
        <f t="shared" si="57"/>
        <v>0</v>
      </c>
      <c r="BX87" s="209">
        <f t="shared" si="58"/>
        <v>160</v>
      </c>
      <c r="BY87" s="927">
        <f t="shared" si="59"/>
        <v>160</v>
      </c>
      <c r="BZ87" s="928">
        <f t="shared" si="60"/>
        <v>0</v>
      </c>
      <c r="CA87" s="929">
        <f t="shared" si="61"/>
        <v>0</v>
      </c>
      <c r="CB87" s="929">
        <f t="shared" si="62"/>
        <v>0</v>
      </c>
      <c r="CC87" s="929">
        <f t="shared" si="63"/>
        <v>0</v>
      </c>
      <c r="CD87" s="929">
        <f t="shared" si="64"/>
        <v>0</v>
      </c>
      <c r="CE87" s="949">
        <f t="shared" si="65"/>
        <v>6</v>
      </c>
      <c r="CF87" s="963">
        <f t="shared" si="66"/>
        <v>6</v>
      </c>
      <c r="CG87" s="957">
        <f t="shared" si="373"/>
        <v>160</v>
      </c>
      <c r="CH87" s="209">
        <f t="shared" si="374"/>
        <v>0</v>
      </c>
      <c r="CI87" s="930">
        <f t="shared" si="375"/>
        <v>6</v>
      </c>
      <c r="CJ87" s="998">
        <f t="shared" si="376"/>
        <v>0</v>
      </c>
      <c r="CK87" s="1000">
        <f>Matryca!Q87</f>
        <v>0</v>
      </c>
      <c r="CL87" s="1001">
        <f>Matryca!R87</f>
        <v>17</v>
      </c>
      <c r="CM87" s="1002">
        <f>Matryca!S87</f>
        <v>5</v>
      </c>
    </row>
    <row r="88" spans="1:91" s="44" customFormat="1" ht="30" customHeight="1" x14ac:dyDescent="0.25">
      <c r="A88" s="45">
        <v>66</v>
      </c>
      <c r="B88" s="62"/>
      <c r="C88" s="61" t="s">
        <v>107</v>
      </c>
      <c r="D88" s="61"/>
      <c r="E88" s="31">
        <v>4</v>
      </c>
      <c r="F88" s="32" t="s">
        <v>470</v>
      </c>
      <c r="G88" s="61" t="s">
        <v>95</v>
      </c>
      <c r="H88" s="121"/>
      <c r="I88" s="118" t="s">
        <v>666</v>
      </c>
      <c r="J88" s="121"/>
      <c r="K88" s="121"/>
      <c r="L88" s="122" t="s">
        <v>418</v>
      </c>
      <c r="M88" s="49">
        <f t="shared" si="377"/>
        <v>125</v>
      </c>
      <c r="N88" s="50">
        <f t="shared" si="378"/>
        <v>95</v>
      </c>
      <c r="O88" s="54">
        <f t="shared" si="379"/>
        <v>30</v>
      </c>
      <c r="P88" s="424">
        <f t="shared" si="380"/>
        <v>30</v>
      </c>
      <c r="Q88" s="52">
        <f t="shared" si="381"/>
        <v>5</v>
      </c>
      <c r="R88" s="76">
        <f t="shared" si="382"/>
        <v>0</v>
      </c>
      <c r="S88" s="76">
        <f t="shared" ref="S88:S89" si="392">IFERROR(IF(L88="tak",(SUM(AE88:AL88,AQ88,BB88:BI88,BN88))*Q88/O88,0),0)</f>
        <v>0</v>
      </c>
      <c r="T88" s="39">
        <f t="shared" si="383"/>
        <v>0</v>
      </c>
      <c r="U88" s="187">
        <f t="shared" ref="U88:U89" si="393">IFERROR((SUM(AB88,AD88:AN88,AY88,BA88:BK88,AP88:AQ88,BM88:BN88)*Q88/M88)," ")</f>
        <v>1.2</v>
      </c>
      <c r="V88" s="201" t="s">
        <v>99</v>
      </c>
      <c r="W88" s="89" t="s">
        <v>99</v>
      </c>
      <c r="X88" s="206">
        <v>5</v>
      </c>
      <c r="Y88" s="71">
        <f t="shared" si="384"/>
        <v>125</v>
      </c>
      <c r="Z88" s="72">
        <f t="shared" si="385"/>
        <v>30</v>
      </c>
      <c r="AA88" s="423">
        <f t="shared" si="386"/>
        <v>30</v>
      </c>
      <c r="AB88" s="262"/>
      <c r="AC88" s="280"/>
      <c r="AD88" s="281">
        <v>30</v>
      </c>
      <c r="AE88" s="281"/>
      <c r="AF88" s="281"/>
      <c r="AG88" s="281"/>
      <c r="AH88" s="281"/>
      <c r="AI88" s="281"/>
      <c r="AJ88" s="281"/>
      <c r="AK88" s="281"/>
      <c r="AL88" s="281"/>
      <c r="AM88" s="281"/>
      <c r="AN88" s="281"/>
      <c r="AO88" s="281"/>
      <c r="AP88" s="281"/>
      <c r="AQ88" s="281"/>
      <c r="AR88" s="282"/>
      <c r="AS88" s="283">
        <v>95</v>
      </c>
      <c r="AT88" s="64"/>
      <c r="AU88" s="203"/>
      <c r="AV88" s="65">
        <f t="shared" si="387"/>
        <v>0</v>
      </c>
      <c r="AW88" s="72">
        <f t="shared" si="388"/>
        <v>0</v>
      </c>
      <c r="AX88" s="425">
        <f t="shared" si="389"/>
        <v>0</v>
      </c>
      <c r="AY88" s="281"/>
      <c r="AZ88" s="280"/>
      <c r="BA88" s="281"/>
      <c r="BB88" s="281"/>
      <c r="BC88" s="281"/>
      <c r="BD88" s="281"/>
      <c r="BE88" s="281"/>
      <c r="BF88" s="281"/>
      <c r="BG88" s="281"/>
      <c r="BH88" s="281"/>
      <c r="BI88" s="281"/>
      <c r="BJ88" s="281"/>
      <c r="BK88" s="281"/>
      <c r="BL88" s="281"/>
      <c r="BM88" s="281"/>
      <c r="BN88" s="281"/>
      <c r="BO88" s="282"/>
      <c r="BP88" s="283"/>
      <c r="BQ88" s="142">
        <f t="shared" si="390"/>
        <v>25</v>
      </c>
      <c r="BR88" s="210" t="str">
        <f t="shared" si="391"/>
        <v>Wartość prawidłowa</v>
      </c>
      <c r="BS88" s="926">
        <f t="shared" si="53"/>
        <v>30</v>
      </c>
      <c r="BT88" s="118">
        <f t="shared" si="54"/>
        <v>0</v>
      </c>
      <c r="BU88" s="118">
        <f t="shared" si="55"/>
        <v>0</v>
      </c>
      <c r="BV88" s="118">
        <f t="shared" si="56"/>
        <v>0</v>
      </c>
      <c r="BW88" s="118">
        <f t="shared" si="57"/>
        <v>95</v>
      </c>
      <c r="BX88" s="209">
        <f t="shared" si="58"/>
        <v>0</v>
      </c>
      <c r="BY88" s="927">
        <f t="shared" si="59"/>
        <v>125</v>
      </c>
      <c r="BZ88" s="928">
        <f t="shared" si="60"/>
        <v>1.2</v>
      </c>
      <c r="CA88" s="929">
        <f t="shared" si="61"/>
        <v>0</v>
      </c>
      <c r="CB88" s="929">
        <f t="shared" si="62"/>
        <v>0</v>
      </c>
      <c r="CC88" s="929">
        <f t="shared" si="63"/>
        <v>0</v>
      </c>
      <c r="CD88" s="929">
        <f t="shared" si="64"/>
        <v>3.8</v>
      </c>
      <c r="CE88" s="949">
        <f t="shared" si="65"/>
        <v>0</v>
      </c>
      <c r="CF88" s="963">
        <f t="shared" si="66"/>
        <v>5</v>
      </c>
      <c r="CG88" s="957">
        <f t="shared" ref="CG88:CG89" si="394">SUM(BS88:BT88,BX88)</f>
        <v>30</v>
      </c>
      <c r="CH88" s="209">
        <f t="shared" ref="CH88:CH89" si="395">SUM(BT88:BU88)</f>
        <v>0</v>
      </c>
      <c r="CI88" s="930">
        <f t="shared" ref="CI88:CI89" si="396">SUM(BZ88:CA88,CE88)</f>
        <v>1.2</v>
      </c>
      <c r="CJ88" s="998">
        <f t="shared" ref="CJ88:CJ89" si="397">SUM(CA88:CB88)</f>
        <v>0</v>
      </c>
      <c r="CK88" s="1000">
        <f>Matryca!Q88</f>
        <v>3</v>
      </c>
      <c r="CL88" s="1001">
        <f>Matryca!R88</f>
        <v>4</v>
      </c>
      <c r="CM88" s="1002">
        <f>Matryca!S88</f>
        <v>2</v>
      </c>
    </row>
    <row r="89" spans="1:91" s="44" customFormat="1" ht="30" customHeight="1" x14ac:dyDescent="0.25">
      <c r="A89" s="45">
        <v>67</v>
      </c>
      <c r="B89" s="62"/>
      <c r="C89" s="61" t="s">
        <v>107</v>
      </c>
      <c r="D89" s="61"/>
      <c r="E89" s="31">
        <v>4</v>
      </c>
      <c r="F89" s="32" t="s">
        <v>470</v>
      </c>
      <c r="G89" s="61" t="s">
        <v>95</v>
      </c>
      <c r="H89" s="121"/>
      <c r="I89" s="870" t="s">
        <v>669</v>
      </c>
      <c r="J89" s="121"/>
      <c r="K89" s="121"/>
      <c r="L89" s="122" t="s">
        <v>418</v>
      </c>
      <c r="M89" s="49">
        <f t="shared" si="377"/>
        <v>125</v>
      </c>
      <c r="N89" s="50">
        <f t="shared" si="378"/>
        <v>95</v>
      </c>
      <c r="O89" s="54">
        <f t="shared" si="379"/>
        <v>30</v>
      </c>
      <c r="P89" s="424">
        <f t="shared" si="380"/>
        <v>30</v>
      </c>
      <c r="Q89" s="52">
        <f t="shared" si="381"/>
        <v>5</v>
      </c>
      <c r="R89" s="76">
        <f t="shared" si="382"/>
        <v>0</v>
      </c>
      <c r="S89" s="76">
        <f t="shared" si="392"/>
        <v>0</v>
      </c>
      <c r="T89" s="39">
        <f t="shared" si="383"/>
        <v>0</v>
      </c>
      <c r="U89" s="187">
        <f t="shared" si="393"/>
        <v>1.2</v>
      </c>
      <c r="V89" s="201" t="s">
        <v>99</v>
      </c>
      <c r="W89" s="89"/>
      <c r="X89" s="206"/>
      <c r="Y89" s="71">
        <f t="shared" si="384"/>
        <v>0</v>
      </c>
      <c r="Z89" s="72">
        <f t="shared" si="385"/>
        <v>0</v>
      </c>
      <c r="AA89" s="423">
        <f t="shared" ref="AA89" si="398">(SUM(AB89:AQ89))-AC89</f>
        <v>0</v>
      </c>
      <c r="AB89" s="262"/>
      <c r="AC89" s="280"/>
      <c r="AD89" s="281"/>
      <c r="AE89" s="281"/>
      <c r="AF89" s="281"/>
      <c r="AG89" s="281"/>
      <c r="AH89" s="281"/>
      <c r="AI89" s="281"/>
      <c r="AJ89" s="281"/>
      <c r="AK89" s="281"/>
      <c r="AL89" s="281"/>
      <c r="AM89" s="281"/>
      <c r="AN89" s="281"/>
      <c r="AO89" s="281"/>
      <c r="AP89" s="281"/>
      <c r="AQ89" s="281"/>
      <c r="AR89" s="282"/>
      <c r="AS89" s="283"/>
      <c r="AT89" s="64" t="s">
        <v>99</v>
      </c>
      <c r="AU89" s="203">
        <v>5</v>
      </c>
      <c r="AV89" s="65">
        <f t="shared" si="387"/>
        <v>125</v>
      </c>
      <c r="AW89" s="72">
        <f t="shared" si="388"/>
        <v>30</v>
      </c>
      <c r="AX89" s="425">
        <f t="shared" ref="AX89" si="399">(SUM(AY89:BN89))-AZ89</f>
        <v>30</v>
      </c>
      <c r="AY89" s="281"/>
      <c r="AZ89" s="280"/>
      <c r="BA89" s="281">
        <v>30</v>
      </c>
      <c r="BB89" s="281"/>
      <c r="BC89" s="281"/>
      <c r="BD89" s="281"/>
      <c r="BE89" s="281"/>
      <c r="BF89" s="281"/>
      <c r="BG89" s="281"/>
      <c r="BH89" s="281"/>
      <c r="BI89" s="281"/>
      <c r="BJ89" s="281"/>
      <c r="BK89" s="281"/>
      <c r="BL89" s="281"/>
      <c r="BM89" s="281"/>
      <c r="BN89" s="281"/>
      <c r="BO89" s="282"/>
      <c r="BP89" s="283">
        <v>95</v>
      </c>
      <c r="BQ89" s="142">
        <f t="shared" si="390"/>
        <v>25</v>
      </c>
      <c r="BR89" s="210" t="str">
        <f t="shared" si="391"/>
        <v>Wartość prawidłowa</v>
      </c>
      <c r="BS89" s="926">
        <f t="shared" si="53"/>
        <v>30</v>
      </c>
      <c r="BT89" s="118">
        <f t="shared" si="54"/>
        <v>0</v>
      </c>
      <c r="BU89" s="118">
        <f t="shared" si="55"/>
        <v>0</v>
      </c>
      <c r="BV89" s="118">
        <f t="shared" si="56"/>
        <v>0</v>
      </c>
      <c r="BW89" s="118">
        <f t="shared" si="57"/>
        <v>95</v>
      </c>
      <c r="BX89" s="209">
        <f t="shared" si="58"/>
        <v>0</v>
      </c>
      <c r="BY89" s="927">
        <f t="shared" si="59"/>
        <v>125</v>
      </c>
      <c r="BZ89" s="928">
        <f t="shared" si="60"/>
        <v>1.2</v>
      </c>
      <c r="CA89" s="929">
        <f t="shared" si="61"/>
        <v>0</v>
      </c>
      <c r="CB89" s="929">
        <f t="shared" si="62"/>
        <v>0</v>
      </c>
      <c r="CC89" s="929">
        <f t="shared" si="63"/>
        <v>0</v>
      </c>
      <c r="CD89" s="929">
        <f t="shared" si="64"/>
        <v>3.8</v>
      </c>
      <c r="CE89" s="949">
        <f t="shared" si="65"/>
        <v>0</v>
      </c>
      <c r="CF89" s="963">
        <f t="shared" si="66"/>
        <v>5</v>
      </c>
      <c r="CG89" s="957">
        <f t="shared" si="394"/>
        <v>30</v>
      </c>
      <c r="CH89" s="209">
        <f t="shared" si="395"/>
        <v>0</v>
      </c>
      <c r="CI89" s="930">
        <f t="shared" si="396"/>
        <v>1.2</v>
      </c>
      <c r="CJ89" s="998">
        <f t="shared" si="397"/>
        <v>0</v>
      </c>
      <c r="CK89" s="1000">
        <f>Matryca!Q89</f>
        <v>3</v>
      </c>
      <c r="CL89" s="1001">
        <f>Matryca!R89</f>
        <v>6</v>
      </c>
      <c r="CM89" s="1002">
        <f>Matryca!S89</f>
        <v>2</v>
      </c>
    </row>
    <row r="90" spans="1:91" s="44" customFormat="1" ht="30" customHeight="1" x14ac:dyDescent="0.25">
      <c r="A90" s="45">
        <v>68</v>
      </c>
      <c r="B90" s="47"/>
      <c r="C90" s="61" t="s">
        <v>107</v>
      </c>
      <c r="D90" s="991" t="s">
        <v>498</v>
      </c>
      <c r="E90" s="31">
        <v>4</v>
      </c>
      <c r="F90" s="32" t="s">
        <v>470</v>
      </c>
      <c r="G90" s="61" t="s">
        <v>60</v>
      </c>
      <c r="H90" s="63"/>
      <c r="I90" s="121" t="s">
        <v>475</v>
      </c>
      <c r="J90" s="121"/>
      <c r="K90" s="121"/>
      <c r="L90" s="122" t="s">
        <v>417</v>
      </c>
      <c r="M90" s="49">
        <f t="shared" ref="M90:M93" si="400">Y90+AV90</f>
        <v>75</v>
      </c>
      <c r="N90" s="50">
        <f t="shared" ref="N90:N93" si="401">AS90+BP90</f>
        <v>15</v>
      </c>
      <c r="O90" s="54">
        <f t="shared" ref="O90:O93" si="402">Z90+AW90</f>
        <v>60</v>
      </c>
      <c r="P90" s="424">
        <f t="shared" ref="P90:P93" si="403">AA90+AX90</f>
        <v>60</v>
      </c>
      <c r="Q90" s="52">
        <f t="shared" ref="Q90:Q93" si="404">X90+AU90</f>
        <v>3</v>
      </c>
      <c r="R90" s="76">
        <f t="shared" ref="R90:R93" si="405">IFERROR((AL90+BI90)*Q90/O90," ")</f>
        <v>0</v>
      </c>
      <c r="S90" s="76">
        <f t="shared" ref="S90:S93" si="406">IFERROR(IF(L90="tak",(SUM(AE90:AL90,AQ90,BB90:BI90,BN90))*Q90/O90,0),0)</f>
        <v>2.5</v>
      </c>
      <c r="T90" s="39">
        <f t="shared" ref="T90:T93" si="407">IFERROR((AC90+AO90+AZ90+BL90)*Q90/O90," ")</f>
        <v>0.5</v>
      </c>
      <c r="U90" s="187">
        <f t="shared" ref="U90:U93" si="408">IFERROR((SUM(AB90,AD90:AN90,AY90,BA90:BK90,AP90:AQ90,BM90:BN90)*Q90/M90)," ")</f>
        <v>2.4</v>
      </c>
      <c r="V90" s="1093" t="s">
        <v>56</v>
      </c>
      <c r="W90" s="55" t="s">
        <v>99</v>
      </c>
      <c r="X90" s="155">
        <v>3</v>
      </c>
      <c r="Y90" s="53">
        <f t="shared" ref="Y90:Y93" si="409">AS90+Z90</f>
        <v>75</v>
      </c>
      <c r="Z90" s="54">
        <f t="shared" ref="Z90:Z93" si="410">AR90+AA90</f>
        <v>60</v>
      </c>
      <c r="AA90" s="419">
        <f t="shared" ref="AA90:AA93" si="411">(SUM(AB90:AQ90))-AC90</f>
        <v>60</v>
      </c>
      <c r="AB90" s="265">
        <v>10</v>
      </c>
      <c r="AC90" s="286">
        <v>10</v>
      </c>
      <c r="AD90" s="265"/>
      <c r="AE90" s="265"/>
      <c r="AF90" s="886">
        <v>20</v>
      </c>
      <c r="AG90" s="265"/>
      <c r="AH90" s="265"/>
      <c r="AI90" s="265"/>
      <c r="AJ90" s="265"/>
      <c r="AK90" s="886">
        <v>30</v>
      </c>
      <c r="AL90" s="265"/>
      <c r="AM90" s="265"/>
      <c r="AN90" s="265"/>
      <c r="AO90" s="265"/>
      <c r="AP90" s="265"/>
      <c r="AQ90" s="265"/>
      <c r="AR90" s="278"/>
      <c r="AS90" s="279">
        <v>15</v>
      </c>
      <c r="AT90" s="45"/>
      <c r="AU90" s="155"/>
      <c r="AV90" s="49">
        <f t="shared" ref="AV90:AV93" si="412">BP90+AW90</f>
        <v>0</v>
      </c>
      <c r="AW90" s="54">
        <f t="shared" ref="AW90:AW93" si="413">BO90+AX90</f>
        <v>0</v>
      </c>
      <c r="AX90" s="424">
        <f t="shared" ref="AX90:AX93" si="414">(SUM(AY90:BN90))-AZ90</f>
        <v>0</v>
      </c>
      <c r="AY90" s="265"/>
      <c r="AZ90" s="286"/>
      <c r="BA90" s="265"/>
      <c r="BB90" s="265"/>
      <c r="BC90" s="265"/>
      <c r="BD90" s="265"/>
      <c r="BE90" s="265"/>
      <c r="BF90" s="265"/>
      <c r="BG90" s="265"/>
      <c r="BH90" s="265"/>
      <c r="BI90" s="265"/>
      <c r="BJ90" s="265"/>
      <c r="BK90" s="265"/>
      <c r="BL90" s="265"/>
      <c r="BM90" s="265"/>
      <c r="BN90" s="265"/>
      <c r="BO90" s="278"/>
      <c r="BP90" s="309"/>
      <c r="BQ90" s="142">
        <f t="shared" ref="BQ90:BQ93" si="415">IFERROR(M90/Q90," ")</f>
        <v>25</v>
      </c>
      <c r="BR90" s="209" t="str">
        <f t="shared" ref="BR90:BR93" si="416">IF(OR(BQ90&gt;30,BQ90&lt;25),"1 ECTS powinien mieścić się przedziale 25-30h","Wartość prawidłowa")</f>
        <v>Wartość prawidłowa</v>
      </c>
      <c r="BS90" s="926">
        <f t="shared" ref="BS90:BS121" si="417">SUM(AB90,AD90:AP90,AY90,BA90:BM90)-AC90-AZ90-AO90-BL90</f>
        <v>50</v>
      </c>
      <c r="BT90" s="118">
        <f t="shared" ref="BT90:BT121" si="418">AC90+AZ90</f>
        <v>10</v>
      </c>
      <c r="BU90" s="118">
        <f t="shared" ref="BU90:BU121" si="419">AO90+BL90</f>
        <v>0</v>
      </c>
      <c r="BV90" s="118">
        <f t="shared" ref="BV90:BV121" si="420">AR90+BO90</f>
        <v>0</v>
      </c>
      <c r="BW90" s="118">
        <f t="shared" ref="BW90:BW121" si="421">N90</f>
        <v>15</v>
      </c>
      <c r="BX90" s="209">
        <f t="shared" ref="BX90:BX121" si="422">AQ90+BN90</f>
        <v>0</v>
      </c>
      <c r="BY90" s="927">
        <f t="shared" ref="BY90:BY121" si="423">SUM(BS90:BX90)</f>
        <v>75</v>
      </c>
      <c r="BZ90" s="928">
        <f t="shared" ref="BZ90:BZ121" si="424">IFERROR((BS90*Q90)/BY90," ")</f>
        <v>2</v>
      </c>
      <c r="CA90" s="929">
        <f t="shared" ref="CA90:CA121" si="425">IFERROR((BT90*Q90)/BY90," ")</f>
        <v>0.4</v>
      </c>
      <c r="CB90" s="929">
        <f t="shared" ref="CB90:CB121" si="426">IFERROR((BU90*Q90)/BY90," ")</f>
        <v>0</v>
      </c>
      <c r="CC90" s="929">
        <f t="shared" ref="CC90:CC121" si="427">IFERROR((BV90*Q90)/BY90," ")</f>
        <v>0</v>
      </c>
      <c r="CD90" s="929">
        <f t="shared" ref="CD90:CD121" si="428">IFERROR((BW90*Q90)/BY90," ")</f>
        <v>0.6</v>
      </c>
      <c r="CE90" s="949">
        <f t="shared" ref="CE90:CE121" si="429">IFERROR((BX90*Q90)/BY90," ")</f>
        <v>0</v>
      </c>
      <c r="CF90" s="963">
        <f t="shared" ref="CF90:CF121" si="430">IFERROR((SUM(BZ90:CE90))," ")</f>
        <v>3</v>
      </c>
      <c r="CG90" s="957">
        <f t="shared" ref="CG90:CG93" si="431">SUM(BS90:BT90,BX90)</f>
        <v>60</v>
      </c>
      <c r="CH90" s="209">
        <f t="shared" ref="CH90:CH93" si="432">SUM(BT90:BU90)</f>
        <v>10</v>
      </c>
      <c r="CI90" s="930">
        <f t="shared" ref="CI90:CI93" si="433">SUM(BZ90:CA90,CE90)</f>
        <v>2.4</v>
      </c>
      <c r="CJ90" s="998">
        <f t="shared" ref="CJ90:CJ93" si="434">SUM(CA90:CB90)</f>
        <v>0.4</v>
      </c>
      <c r="CK90" s="1000">
        <f>Matryca!Q90</f>
        <v>2</v>
      </c>
      <c r="CL90" s="1001">
        <f>Matryca!R90</f>
        <v>11</v>
      </c>
      <c r="CM90" s="1002">
        <f>Matryca!S90</f>
        <v>1</v>
      </c>
    </row>
    <row r="91" spans="1:91" s="44" customFormat="1" ht="32.25" customHeight="1" x14ac:dyDescent="0.25">
      <c r="A91" s="45">
        <v>69</v>
      </c>
      <c r="B91" s="62"/>
      <c r="C91" s="61" t="s">
        <v>107</v>
      </c>
      <c r="D91" s="991" t="s">
        <v>498</v>
      </c>
      <c r="E91" s="31">
        <v>4</v>
      </c>
      <c r="F91" s="32" t="s">
        <v>470</v>
      </c>
      <c r="G91" s="61" t="s">
        <v>60</v>
      </c>
      <c r="H91" s="121"/>
      <c r="I91" s="1115" t="s">
        <v>948</v>
      </c>
      <c r="J91" s="121"/>
      <c r="K91" s="121"/>
      <c r="L91" s="122" t="s">
        <v>417</v>
      </c>
      <c r="M91" s="65">
        <f t="shared" si="400"/>
        <v>50</v>
      </c>
      <c r="N91" s="66">
        <f t="shared" si="401"/>
        <v>15</v>
      </c>
      <c r="O91" s="72">
        <f t="shared" si="402"/>
        <v>35</v>
      </c>
      <c r="P91" s="425">
        <f t="shared" si="403"/>
        <v>35</v>
      </c>
      <c r="Q91" s="69">
        <f t="shared" si="404"/>
        <v>2</v>
      </c>
      <c r="R91" s="215">
        <f t="shared" si="405"/>
        <v>0</v>
      </c>
      <c r="S91" s="215">
        <f t="shared" si="406"/>
        <v>1.4285714285714286</v>
      </c>
      <c r="T91" s="39">
        <f t="shared" si="407"/>
        <v>0</v>
      </c>
      <c r="U91" s="324">
        <f t="shared" si="408"/>
        <v>1.4</v>
      </c>
      <c r="V91" s="216" t="s">
        <v>99</v>
      </c>
      <c r="W91" s="55" t="s">
        <v>99</v>
      </c>
      <c r="X91" s="206">
        <v>2</v>
      </c>
      <c r="Y91" s="71">
        <f t="shared" si="409"/>
        <v>50</v>
      </c>
      <c r="Z91" s="72">
        <f t="shared" si="410"/>
        <v>35</v>
      </c>
      <c r="AA91" s="423">
        <f t="shared" si="411"/>
        <v>35</v>
      </c>
      <c r="AB91" s="262"/>
      <c r="AC91" s="280"/>
      <c r="AD91" s="281">
        <v>10</v>
      </c>
      <c r="AE91" s="281"/>
      <c r="AF91" s="281">
        <v>25</v>
      </c>
      <c r="AG91" s="281"/>
      <c r="AH91" s="281"/>
      <c r="AI91" s="281"/>
      <c r="AJ91" s="281"/>
      <c r="AK91" s="281"/>
      <c r="AL91" s="281"/>
      <c r="AM91" s="281"/>
      <c r="AN91" s="281"/>
      <c r="AO91" s="281"/>
      <c r="AP91" s="281"/>
      <c r="AQ91" s="281"/>
      <c r="AR91" s="282"/>
      <c r="AS91" s="283">
        <v>15</v>
      </c>
      <c r="AT91" s="64"/>
      <c r="AU91" s="203"/>
      <c r="AV91" s="65">
        <f t="shared" si="412"/>
        <v>0</v>
      </c>
      <c r="AW91" s="72">
        <f t="shared" si="413"/>
        <v>0</v>
      </c>
      <c r="AX91" s="425">
        <f t="shared" si="414"/>
        <v>0</v>
      </c>
      <c r="AY91" s="281"/>
      <c r="AZ91" s="280"/>
      <c r="BA91" s="281"/>
      <c r="BB91" s="281"/>
      <c r="BC91" s="265"/>
      <c r="BD91" s="281"/>
      <c r="BE91" s="281"/>
      <c r="BF91" s="281"/>
      <c r="BG91" s="281"/>
      <c r="BH91" s="281"/>
      <c r="BI91" s="281"/>
      <c r="BJ91" s="281"/>
      <c r="BK91" s="281"/>
      <c r="BL91" s="281"/>
      <c r="BM91" s="281"/>
      <c r="BN91" s="281"/>
      <c r="BO91" s="282"/>
      <c r="BP91" s="283"/>
      <c r="BQ91" s="217">
        <f t="shared" si="415"/>
        <v>25</v>
      </c>
      <c r="BR91" s="210" t="str">
        <f t="shared" si="416"/>
        <v>Wartość prawidłowa</v>
      </c>
      <c r="BS91" s="926">
        <f t="shared" si="417"/>
        <v>35</v>
      </c>
      <c r="BT91" s="118">
        <f t="shared" si="418"/>
        <v>0</v>
      </c>
      <c r="BU91" s="118">
        <f t="shared" si="419"/>
        <v>0</v>
      </c>
      <c r="BV91" s="118">
        <f t="shared" si="420"/>
        <v>0</v>
      </c>
      <c r="BW91" s="118">
        <f t="shared" si="421"/>
        <v>15</v>
      </c>
      <c r="BX91" s="209">
        <f t="shared" si="422"/>
        <v>0</v>
      </c>
      <c r="BY91" s="927">
        <f t="shared" si="423"/>
        <v>50</v>
      </c>
      <c r="BZ91" s="928">
        <f t="shared" si="424"/>
        <v>1.4</v>
      </c>
      <c r="CA91" s="929">
        <f t="shared" si="425"/>
        <v>0</v>
      </c>
      <c r="CB91" s="929">
        <f t="shared" si="426"/>
        <v>0</v>
      </c>
      <c r="CC91" s="929">
        <f t="shared" si="427"/>
        <v>0</v>
      </c>
      <c r="CD91" s="929">
        <f t="shared" si="428"/>
        <v>0.6</v>
      </c>
      <c r="CE91" s="949">
        <f t="shared" si="429"/>
        <v>0</v>
      </c>
      <c r="CF91" s="963">
        <f t="shared" si="430"/>
        <v>2</v>
      </c>
      <c r="CG91" s="957">
        <f t="shared" si="431"/>
        <v>35</v>
      </c>
      <c r="CH91" s="209">
        <f t="shared" si="432"/>
        <v>0</v>
      </c>
      <c r="CI91" s="930">
        <f t="shared" si="433"/>
        <v>1.4</v>
      </c>
      <c r="CJ91" s="998">
        <f t="shared" si="434"/>
        <v>0</v>
      </c>
      <c r="CK91" s="1000">
        <f>Matryca!Q91</f>
        <v>2</v>
      </c>
      <c r="CL91" s="1001">
        <f>Matryca!R91</f>
        <v>4</v>
      </c>
      <c r="CM91" s="1002">
        <f>Matryca!S91</f>
        <v>1</v>
      </c>
    </row>
    <row r="92" spans="1:91" s="44" customFormat="1" ht="30" customHeight="1" x14ac:dyDescent="0.25">
      <c r="A92" s="45">
        <v>70</v>
      </c>
      <c r="B92" s="47"/>
      <c r="C92" s="46" t="s">
        <v>107</v>
      </c>
      <c r="D92" s="992" t="s">
        <v>498</v>
      </c>
      <c r="E92" s="31">
        <v>4</v>
      </c>
      <c r="F92" s="32" t="s">
        <v>470</v>
      </c>
      <c r="G92" s="46" t="s">
        <v>60</v>
      </c>
      <c r="H92" s="118"/>
      <c r="I92" s="118" t="s">
        <v>626</v>
      </c>
      <c r="J92" s="118"/>
      <c r="K92" s="118"/>
      <c r="L92" s="122" t="s">
        <v>417</v>
      </c>
      <c r="M92" s="49">
        <f t="shared" si="400"/>
        <v>50</v>
      </c>
      <c r="N92" s="50">
        <f t="shared" si="401"/>
        <v>5</v>
      </c>
      <c r="O92" s="54">
        <f t="shared" si="402"/>
        <v>45</v>
      </c>
      <c r="P92" s="424">
        <f t="shared" si="403"/>
        <v>45</v>
      </c>
      <c r="Q92" s="52">
        <f t="shared" si="404"/>
        <v>2</v>
      </c>
      <c r="R92" s="76">
        <f t="shared" si="405"/>
        <v>0</v>
      </c>
      <c r="S92" s="76">
        <f t="shared" si="406"/>
        <v>1.3333333333333333</v>
      </c>
      <c r="T92" s="39">
        <f t="shared" si="407"/>
        <v>0.66666666666666663</v>
      </c>
      <c r="U92" s="187">
        <f t="shared" si="408"/>
        <v>1.8</v>
      </c>
      <c r="V92" s="1093" t="s">
        <v>99</v>
      </c>
      <c r="W92" s="55"/>
      <c r="X92" s="155"/>
      <c r="Y92" s="53">
        <f t="shared" si="409"/>
        <v>0</v>
      </c>
      <c r="Z92" s="54">
        <f t="shared" si="410"/>
        <v>0</v>
      </c>
      <c r="AA92" s="419">
        <f t="shared" si="411"/>
        <v>0</v>
      </c>
      <c r="AB92" s="265"/>
      <c r="AC92" s="286"/>
      <c r="AD92" s="265"/>
      <c r="AE92" s="265"/>
      <c r="AF92" s="265"/>
      <c r="AG92" s="265"/>
      <c r="AH92" s="265"/>
      <c r="AI92" s="265"/>
      <c r="AJ92" s="265"/>
      <c r="AK92" s="265"/>
      <c r="AL92" s="265"/>
      <c r="AM92" s="265"/>
      <c r="AN92" s="265"/>
      <c r="AO92" s="265"/>
      <c r="AP92" s="265"/>
      <c r="AQ92" s="265"/>
      <c r="AR92" s="278"/>
      <c r="AS92" s="279"/>
      <c r="AT92" s="45" t="s">
        <v>99</v>
      </c>
      <c r="AU92" s="155">
        <v>2</v>
      </c>
      <c r="AV92" s="49">
        <f t="shared" si="412"/>
        <v>50</v>
      </c>
      <c r="AW92" s="54">
        <f t="shared" si="413"/>
        <v>45</v>
      </c>
      <c r="AX92" s="424">
        <f t="shared" si="414"/>
        <v>45</v>
      </c>
      <c r="AY92" s="265">
        <v>15</v>
      </c>
      <c r="AZ92" s="286">
        <v>15</v>
      </c>
      <c r="BA92" s="265"/>
      <c r="BB92" s="886">
        <v>30</v>
      </c>
      <c r="BD92" s="265"/>
      <c r="BE92" s="265"/>
      <c r="BF92" s="265"/>
      <c r="BG92" s="265"/>
      <c r="BH92" s="265"/>
      <c r="BI92" s="265"/>
      <c r="BJ92" s="265"/>
      <c r="BK92" s="265"/>
      <c r="BL92" s="265"/>
      <c r="BM92" s="265"/>
      <c r="BN92" s="265"/>
      <c r="BO92" s="278"/>
      <c r="BP92" s="309">
        <v>5</v>
      </c>
      <c r="BQ92" s="142">
        <f t="shared" si="415"/>
        <v>25</v>
      </c>
      <c r="BR92" s="209" t="str">
        <f t="shared" si="416"/>
        <v>Wartość prawidłowa</v>
      </c>
      <c r="BS92" s="926">
        <f t="shared" si="417"/>
        <v>30</v>
      </c>
      <c r="BT92" s="118">
        <f t="shared" si="418"/>
        <v>15</v>
      </c>
      <c r="BU92" s="118">
        <f t="shared" si="419"/>
        <v>0</v>
      </c>
      <c r="BV92" s="118">
        <f t="shared" si="420"/>
        <v>0</v>
      </c>
      <c r="BW92" s="118">
        <f t="shared" si="421"/>
        <v>5</v>
      </c>
      <c r="BX92" s="209">
        <f t="shared" si="422"/>
        <v>0</v>
      </c>
      <c r="BY92" s="927">
        <f t="shared" si="423"/>
        <v>50</v>
      </c>
      <c r="BZ92" s="928">
        <f t="shared" si="424"/>
        <v>1.2</v>
      </c>
      <c r="CA92" s="929">
        <f t="shared" si="425"/>
        <v>0.6</v>
      </c>
      <c r="CB92" s="929">
        <f t="shared" si="426"/>
        <v>0</v>
      </c>
      <c r="CC92" s="929">
        <f t="shared" si="427"/>
        <v>0</v>
      </c>
      <c r="CD92" s="929">
        <f t="shared" si="428"/>
        <v>0.2</v>
      </c>
      <c r="CE92" s="949">
        <f t="shared" si="429"/>
        <v>0</v>
      </c>
      <c r="CF92" s="963">
        <f t="shared" si="430"/>
        <v>1.9999999999999998</v>
      </c>
      <c r="CG92" s="957">
        <f t="shared" si="431"/>
        <v>45</v>
      </c>
      <c r="CH92" s="209">
        <f t="shared" si="432"/>
        <v>15</v>
      </c>
      <c r="CI92" s="930">
        <f t="shared" si="433"/>
        <v>1.7999999999999998</v>
      </c>
      <c r="CJ92" s="998">
        <f t="shared" si="434"/>
        <v>0.6</v>
      </c>
      <c r="CK92" s="1000">
        <f>Matryca!Q92</f>
        <v>3</v>
      </c>
      <c r="CL92" s="1001">
        <f>Matryca!R92</f>
        <v>4</v>
      </c>
      <c r="CM92" s="1002">
        <f>Matryca!S92</f>
        <v>2</v>
      </c>
    </row>
    <row r="93" spans="1:91" s="44" customFormat="1" ht="30" customHeight="1" x14ac:dyDescent="0.25">
      <c r="A93" s="45">
        <v>71</v>
      </c>
      <c r="B93" s="47"/>
      <c r="C93" s="61" t="s">
        <v>107</v>
      </c>
      <c r="D93" s="991" t="s">
        <v>498</v>
      </c>
      <c r="E93" s="31">
        <v>4</v>
      </c>
      <c r="F93" s="32" t="s">
        <v>470</v>
      </c>
      <c r="G93" s="61" t="s">
        <v>60</v>
      </c>
      <c r="H93" s="63"/>
      <c r="I93" s="121" t="s">
        <v>625</v>
      </c>
      <c r="J93" s="121"/>
      <c r="K93" s="121"/>
      <c r="L93" s="122" t="s">
        <v>417</v>
      </c>
      <c r="M93" s="49">
        <f t="shared" si="400"/>
        <v>75</v>
      </c>
      <c r="N93" s="50">
        <f t="shared" si="401"/>
        <v>25</v>
      </c>
      <c r="O93" s="54">
        <f t="shared" si="402"/>
        <v>50</v>
      </c>
      <c r="P93" s="424">
        <f t="shared" si="403"/>
        <v>50</v>
      </c>
      <c r="Q93" s="52">
        <f t="shared" si="404"/>
        <v>3</v>
      </c>
      <c r="R93" s="76">
        <f t="shared" si="405"/>
        <v>0</v>
      </c>
      <c r="S93" s="76">
        <f t="shared" si="406"/>
        <v>2.4</v>
      </c>
      <c r="T93" s="39">
        <f t="shared" si="407"/>
        <v>0.6</v>
      </c>
      <c r="U93" s="187">
        <f t="shared" si="408"/>
        <v>2</v>
      </c>
      <c r="V93" s="1093" t="s">
        <v>56</v>
      </c>
      <c r="W93" s="55" t="s">
        <v>99</v>
      </c>
      <c r="X93" s="155">
        <v>3</v>
      </c>
      <c r="Y93" s="53">
        <f t="shared" si="409"/>
        <v>75</v>
      </c>
      <c r="Z93" s="54">
        <f t="shared" si="410"/>
        <v>50</v>
      </c>
      <c r="AA93" s="419">
        <f t="shared" si="411"/>
        <v>50</v>
      </c>
      <c r="AB93" s="265">
        <v>10</v>
      </c>
      <c r="AC93" s="286">
        <v>10</v>
      </c>
      <c r="AD93" s="265"/>
      <c r="AE93" s="265">
        <v>40</v>
      </c>
      <c r="AF93" s="265"/>
      <c r="AG93" s="265"/>
      <c r="AH93" s="265"/>
      <c r="AI93" s="265"/>
      <c r="AJ93" s="265"/>
      <c r="AK93" s="265"/>
      <c r="AL93" s="265"/>
      <c r="AM93" s="265"/>
      <c r="AN93" s="265"/>
      <c r="AO93" s="265"/>
      <c r="AP93" s="265"/>
      <c r="AQ93" s="265"/>
      <c r="AR93" s="278"/>
      <c r="AS93" s="279">
        <v>25</v>
      </c>
      <c r="AT93" s="45"/>
      <c r="AU93" s="155"/>
      <c r="AV93" s="49">
        <f t="shared" si="412"/>
        <v>0</v>
      </c>
      <c r="AW93" s="54">
        <f t="shared" si="413"/>
        <v>0</v>
      </c>
      <c r="AX93" s="424">
        <f t="shared" si="414"/>
        <v>0</v>
      </c>
      <c r="AY93" s="265"/>
      <c r="AZ93" s="286"/>
      <c r="BA93" s="265"/>
      <c r="BB93" s="265"/>
      <c r="BC93" s="265"/>
      <c r="BD93" s="265"/>
      <c r="BE93" s="265"/>
      <c r="BF93" s="265"/>
      <c r="BG93" s="265"/>
      <c r="BH93" s="265"/>
      <c r="BI93" s="265"/>
      <c r="BJ93" s="265"/>
      <c r="BK93" s="265"/>
      <c r="BL93" s="265"/>
      <c r="BM93" s="265"/>
      <c r="BN93" s="265"/>
      <c r="BO93" s="278"/>
      <c r="BP93" s="309"/>
      <c r="BQ93" s="142">
        <f t="shared" si="415"/>
        <v>25</v>
      </c>
      <c r="BR93" s="209" t="str">
        <f t="shared" si="416"/>
        <v>Wartość prawidłowa</v>
      </c>
      <c r="BS93" s="926">
        <f t="shared" si="417"/>
        <v>40</v>
      </c>
      <c r="BT93" s="118">
        <f t="shared" si="418"/>
        <v>10</v>
      </c>
      <c r="BU93" s="118">
        <f t="shared" si="419"/>
        <v>0</v>
      </c>
      <c r="BV93" s="118">
        <f t="shared" si="420"/>
        <v>0</v>
      </c>
      <c r="BW93" s="118">
        <f t="shared" si="421"/>
        <v>25</v>
      </c>
      <c r="BX93" s="209">
        <f t="shared" si="422"/>
        <v>0</v>
      </c>
      <c r="BY93" s="927">
        <f t="shared" si="423"/>
        <v>75</v>
      </c>
      <c r="BZ93" s="928">
        <f t="shared" si="424"/>
        <v>1.6</v>
      </c>
      <c r="CA93" s="929">
        <f t="shared" si="425"/>
        <v>0.4</v>
      </c>
      <c r="CB93" s="929">
        <f t="shared" si="426"/>
        <v>0</v>
      </c>
      <c r="CC93" s="929">
        <f t="shared" si="427"/>
        <v>0</v>
      </c>
      <c r="CD93" s="929">
        <f t="shared" si="428"/>
        <v>1</v>
      </c>
      <c r="CE93" s="949">
        <f t="shared" si="429"/>
        <v>0</v>
      </c>
      <c r="CF93" s="963">
        <f t="shared" si="430"/>
        <v>3</v>
      </c>
      <c r="CG93" s="957">
        <f t="shared" si="431"/>
        <v>50</v>
      </c>
      <c r="CH93" s="209">
        <f t="shared" si="432"/>
        <v>10</v>
      </c>
      <c r="CI93" s="930">
        <f t="shared" si="433"/>
        <v>2</v>
      </c>
      <c r="CJ93" s="998">
        <f t="shared" si="434"/>
        <v>0.4</v>
      </c>
      <c r="CK93" s="1000">
        <f>Matryca!Q93</f>
        <v>1</v>
      </c>
      <c r="CL93" s="1001">
        <f>Matryca!R93</f>
        <v>5</v>
      </c>
      <c r="CM93" s="1002">
        <f>Matryca!S93</f>
        <v>3</v>
      </c>
    </row>
    <row r="94" spans="1:91" s="44" customFormat="1" ht="30" customHeight="1" x14ac:dyDescent="0.25">
      <c r="A94" s="45">
        <v>72</v>
      </c>
      <c r="B94" s="47"/>
      <c r="C94" s="46" t="s">
        <v>107</v>
      </c>
      <c r="D94" s="992" t="s">
        <v>498</v>
      </c>
      <c r="E94" s="31">
        <v>4</v>
      </c>
      <c r="F94" s="46" t="s">
        <v>470</v>
      </c>
      <c r="G94" s="46" t="s">
        <v>60</v>
      </c>
      <c r="H94" s="48"/>
      <c r="I94" s="118" t="s">
        <v>483</v>
      </c>
      <c r="J94" s="118"/>
      <c r="K94" s="118"/>
      <c r="L94" s="122" t="s">
        <v>417</v>
      </c>
      <c r="M94" s="49">
        <f t="shared" si="356"/>
        <v>75</v>
      </c>
      <c r="N94" s="50">
        <f t="shared" si="357"/>
        <v>30</v>
      </c>
      <c r="O94" s="54">
        <f t="shared" si="358"/>
        <v>45</v>
      </c>
      <c r="P94" s="424">
        <f t="shared" si="359"/>
        <v>45</v>
      </c>
      <c r="Q94" s="52">
        <f t="shared" si="360"/>
        <v>3</v>
      </c>
      <c r="R94" s="76">
        <f t="shared" si="361"/>
        <v>0</v>
      </c>
      <c r="S94" s="76">
        <f t="shared" si="362"/>
        <v>2.3333333333333335</v>
      </c>
      <c r="T94" s="39">
        <f t="shared" si="363"/>
        <v>0.66666666666666663</v>
      </c>
      <c r="U94" s="187">
        <f t="shared" si="364"/>
        <v>1.8</v>
      </c>
      <c r="V94" s="1093" t="s">
        <v>56</v>
      </c>
      <c r="W94" s="55"/>
      <c r="X94" s="155"/>
      <c r="Y94" s="53">
        <f t="shared" si="365"/>
        <v>0</v>
      </c>
      <c r="Z94" s="54">
        <f t="shared" si="366"/>
        <v>0</v>
      </c>
      <c r="AA94" s="419">
        <f t="shared" si="367"/>
        <v>0</v>
      </c>
      <c r="AB94" s="265"/>
      <c r="AC94" s="286"/>
      <c r="AD94" s="265"/>
      <c r="AE94" s="265"/>
      <c r="AF94" s="265"/>
      <c r="AG94" s="265"/>
      <c r="AH94" s="265"/>
      <c r="AI94" s="265"/>
      <c r="AJ94" s="265"/>
      <c r="AK94" s="265"/>
      <c r="AL94" s="265"/>
      <c r="AM94" s="265"/>
      <c r="AN94" s="265"/>
      <c r="AO94" s="265"/>
      <c r="AP94" s="265"/>
      <c r="AQ94" s="265"/>
      <c r="AR94" s="278"/>
      <c r="AS94" s="309"/>
      <c r="AT94" s="45" t="s">
        <v>99</v>
      </c>
      <c r="AU94" s="155">
        <v>3</v>
      </c>
      <c r="AV94" s="49">
        <f t="shared" si="368"/>
        <v>75</v>
      </c>
      <c r="AW94" s="54">
        <f t="shared" si="369"/>
        <v>45</v>
      </c>
      <c r="AX94" s="424">
        <f t="shared" si="370"/>
        <v>45</v>
      </c>
      <c r="AY94" s="265">
        <v>10</v>
      </c>
      <c r="AZ94" s="286">
        <v>10</v>
      </c>
      <c r="BA94" s="265"/>
      <c r="BB94" s="265">
        <v>35</v>
      </c>
      <c r="BC94" s="265"/>
      <c r="BD94" s="265"/>
      <c r="BE94" s="265"/>
      <c r="BF94" s="265"/>
      <c r="BG94" s="265"/>
      <c r="BH94" s="265"/>
      <c r="BI94" s="265"/>
      <c r="BJ94" s="265"/>
      <c r="BK94" s="265"/>
      <c r="BL94" s="265"/>
      <c r="BM94" s="265"/>
      <c r="BN94" s="265"/>
      <c r="BO94" s="278"/>
      <c r="BP94" s="309">
        <v>30</v>
      </c>
      <c r="BQ94" s="142">
        <f t="shared" si="371"/>
        <v>25</v>
      </c>
      <c r="BR94" s="209" t="str">
        <f t="shared" si="372"/>
        <v>Wartość prawidłowa</v>
      </c>
      <c r="BS94" s="926">
        <f t="shared" si="417"/>
        <v>35</v>
      </c>
      <c r="BT94" s="118">
        <f t="shared" si="418"/>
        <v>10</v>
      </c>
      <c r="BU94" s="118">
        <f t="shared" si="419"/>
        <v>0</v>
      </c>
      <c r="BV94" s="118">
        <f t="shared" si="420"/>
        <v>0</v>
      </c>
      <c r="BW94" s="118">
        <f t="shared" si="421"/>
        <v>30</v>
      </c>
      <c r="BX94" s="209">
        <f t="shared" si="422"/>
        <v>0</v>
      </c>
      <c r="BY94" s="927">
        <f t="shared" si="423"/>
        <v>75</v>
      </c>
      <c r="BZ94" s="928">
        <f t="shared" si="424"/>
        <v>1.4</v>
      </c>
      <c r="CA94" s="929">
        <f t="shared" si="425"/>
        <v>0.4</v>
      </c>
      <c r="CB94" s="929">
        <f t="shared" si="426"/>
        <v>0</v>
      </c>
      <c r="CC94" s="929">
        <f t="shared" si="427"/>
        <v>0</v>
      </c>
      <c r="CD94" s="929">
        <f t="shared" si="428"/>
        <v>1.2</v>
      </c>
      <c r="CE94" s="949">
        <f t="shared" si="429"/>
        <v>0</v>
      </c>
      <c r="CF94" s="963">
        <f t="shared" si="430"/>
        <v>3</v>
      </c>
      <c r="CG94" s="957">
        <f t="shared" si="373"/>
        <v>45</v>
      </c>
      <c r="CH94" s="209">
        <f t="shared" si="374"/>
        <v>10</v>
      </c>
      <c r="CI94" s="930">
        <f t="shared" si="375"/>
        <v>1.7999999999999998</v>
      </c>
      <c r="CJ94" s="998">
        <f t="shared" si="376"/>
        <v>0.4</v>
      </c>
      <c r="CK94" s="1000">
        <f>Matryca!Q94</f>
        <v>2</v>
      </c>
      <c r="CL94" s="1001">
        <f>Matryca!R94</f>
        <v>3</v>
      </c>
      <c r="CM94" s="1002">
        <f>Matryca!S94</f>
        <v>1</v>
      </c>
    </row>
    <row r="95" spans="1:91" s="44" customFormat="1" ht="31.5" x14ac:dyDescent="0.25">
      <c r="A95" s="45">
        <v>73</v>
      </c>
      <c r="B95" s="47"/>
      <c r="C95" s="46" t="s">
        <v>107</v>
      </c>
      <c r="D95" s="991" t="s">
        <v>498</v>
      </c>
      <c r="E95" s="31">
        <v>4</v>
      </c>
      <c r="F95" s="32" t="s">
        <v>470</v>
      </c>
      <c r="G95" s="46" t="s">
        <v>60</v>
      </c>
      <c r="H95" s="118"/>
      <c r="I95" s="118" t="s">
        <v>479</v>
      </c>
      <c r="J95" s="118"/>
      <c r="K95" s="118"/>
      <c r="L95" s="122" t="s">
        <v>417</v>
      </c>
      <c r="M95" s="49">
        <f t="shared" si="356"/>
        <v>150</v>
      </c>
      <c r="N95" s="50">
        <f t="shared" si="357"/>
        <v>75</v>
      </c>
      <c r="O95" s="54">
        <f t="shared" si="358"/>
        <v>75</v>
      </c>
      <c r="P95" s="424">
        <f t="shared" si="359"/>
        <v>75</v>
      </c>
      <c r="Q95" s="52">
        <f t="shared" si="360"/>
        <v>6</v>
      </c>
      <c r="R95" s="76">
        <f t="shared" si="361"/>
        <v>0</v>
      </c>
      <c r="S95" s="76">
        <f t="shared" si="362"/>
        <v>5.2</v>
      </c>
      <c r="T95" s="39">
        <f t="shared" si="363"/>
        <v>0.8</v>
      </c>
      <c r="U95" s="187">
        <f t="shared" si="364"/>
        <v>3</v>
      </c>
      <c r="V95" s="1093" t="s">
        <v>56</v>
      </c>
      <c r="W95" s="55"/>
      <c r="X95" s="155"/>
      <c r="Y95" s="53">
        <f t="shared" si="365"/>
        <v>0</v>
      </c>
      <c r="Z95" s="54">
        <f t="shared" si="366"/>
        <v>0</v>
      </c>
      <c r="AA95" s="419">
        <f t="shared" si="367"/>
        <v>0</v>
      </c>
      <c r="AB95" s="265"/>
      <c r="AC95" s="286"/>
      <c r="AD95" s="265"/>
      <c r="AE95" s="265"/>
      <c r="AF95" s="265"/>
      <c r="AG95" s="265"/>
      <c r="AH95" s="265"/>
      <c r="AI95" s="265"/>
      <c r="AJ95" s="265"/>
      <c r="AK95" s="265"/>
      <c r="AL95" s="265"/>
      <c r="AM95" s="265"/>
      <c r="AN95" s="265"/>
      <c r="AO95" s="265"/>
      <c r="AP95" s="265"/>
      <c r="AQ95" s="265"/>
      <c r="AR95" s="278"/>
      <c r="AS95" s="279"/>
      <c r="AT95" s="45" t="s">
        <v>99</v>
      </c>
      <c r="AU95" s="155">
        <v>6</v>
      </c>
      <c r="AV95" s="49">
        <f t="shared" si="368"/>
        <v>150</v>
      </c>
      <c r="AW95" s="54">
        <f t="shared" si="369"/>
        <v>75</v>
      </c>
      <c r="AX95" s="424">
        <f t="shared" si="370"/>
        <v>75</v>
      </c>
      <c r="AY95" s="265">
        <v>10</v>
      </c>
      <c r="AZ95" s="286">
        <v>10</v>
      </c>
      <c r="BA95" s="265"/>
      <c r="BB95" s="265">
        <v>35</v>
      </c>
      <c r="BC95" s="265"/>
      <c r="BD95" s="265"/>
      <c r="BE95" s="265"/>
      <c r="BF95" s="265"/>
      <c r="BG95" s="265"/>
      <c r="BH95" s="265">
        <v>30</v>
      </c>
      <c r="BI95" s="265"/>
      <c r="BJ95" s="265"/>
      <c r="BK95" s="265"/>
      <c r="BL95" s="265"/>
      <c r="BM95" s="265"/>
      <c r="BN95" s="265"/>
      <c r="BO95" s="278"/>
      <c r="BP95" s="309">
        <v>75</v>
      </c>
      <c r="BQ95" s="142">
        <f t="shared" si="371"/>
        <v>25</v>
      </c>
      <c r="BR95" s="209" t="str">
        <f t="shared" si="372"/>
        <v>Wartość prawidłowa</v>
      </c>
      <c r="BS95" s="926">
        <f t="shared" si="417"/>
        <v>65</v>
      </c>
      <c r="BT95" s="118">
        <f t="shared" si="418"/>
        <v>10</v>
      </c>
      <c r="BU95" s="118">
        <f t="shared" si="419"/>
        <v>0</v>
      </c>
      <c r="BV95" s="118">
        <f t="shared" si="420"/>
        <v>0</v>
      </c>
      <c r="BW95" s="118">
        <f t="shared" si="421"/>
        <v>75</v>
      </c>
      <c r="BX95" s="209">
        <f t="shared" si="422"/>
        <v>0</v>
      </c>
      <c r="BY95" s="927">
        <f t="shared" si="423"/>
        <v>150</v>
      </c>
      <c r="BZ95" s="928">
        <f t="shared" si="424"/>
        <v>2.6</v>
      </c>
      <c r="CA95" s="929">
        <f t="shared" si="425"/>
        <v>0.4</v>
      </c>
      <c r="CB95" s="929">
        <f t="shared" si="426"/>
        <v>0</v>
      </c>
      <c r="CC95" s="929">
        <f t="shared" si="427"/>
        <v>0</v>
      </c>
      <c r="CD95" s="929">
        <f t="shared" si="428"/>
        <v>3</v>
      </c>
      <c r="CE95" s="949">
        <f t="shared" si="429"/>
        <v>0</v>
      </c>
      <c r="CF95" s="963">
        <f t="shared" si="430"/>
        <v>6</v>
      </c>
      <c r="CG95" s="957">
        <f t="shared" si="373"/>
        <v>75</v>
      </c>
      <c r="CH95" s="209">
        <f t="shared" si="374"/>
        <v>10</v>
      </c>
      <c r="CI95" s="930">
        <f t="shared" si="375"/>
        <v>3</v>
      </c>
      <c r="CJ95" s="998">
        <f t="shared" si="376"/>
        <v>0.4</v>
      </c>
      <c r="CK95" s="1000">
        <f>Matryca!Q95</f>
        <v>2</v>
      </c>
      <c r="CL95" s="1001">
        <f>Matryca!R95</f>
        <v>8</v>
      </c>
      <c r="CM95" s="1002">
        <f>Matryca!S95</f>
        <v>2</v>
      </c>
    </row>
    <row r="96" spans="1:91" s="44" customFormat="1" ht="46.5" customHeight="1" x14ac:dyDescent="0.25">
      <c r="A96" s="45">
        <v>74</v>
      </c>
      <c r="B96" s="47"/>
      <c r="C96" s="46" t="s">
        <v>107</v>
      </c>
      <c r="D96" s="992" t="s">
        <v>498</v>
      </c>
      <c r="E96" s="47">
        <v>4</v>
      </c>
      <c r="F96" s="46" t="s">
        <v>470</v>
      </c>
      <c r="G96" s="46" t="s">
        <v>60</v>
      </c>
      <c r="H96" s="48"/>
      <c r="I96" s="1084" t="s">
        <v>677</v>
      </c>
      <c r="J96" s="118"/>
      <c r="K96" s="118"/>
      <c r="L96" s="122" t="s">
        <v>417</v>
      </c>
      <c r="M96" s="49">
        <f t="shared" si="356"/>
        <v>100</v>
      </c>
      <c r="N96" s="50">
        <f t="shared" si="357"/>
        <v>40</v>
      </c>
      <c r="O96" s="54">
        <f t="shared" si="358"/>
        <v>60</v>
      </c>
      <c r="P96" s="424">
        <f t="shared" si="359"/>
        <v>60</v>
      </c>
      <c r="Q96" s="52">
        <f t="shared" si="360"/>
        <v>4</v>
      </c>
      <c r="R96" s="76">
        <f t="shared" si="361"/>
        <v>0</v>
      </c>
      <c r="S96" s="76">
        <f t="shared" si="362"/>
        <v>3.3333333333333335</v>
      </c>
      <c r="T96" s="39">
        <f t="shared" si="363"/>
        <v>0.66666666666666663</v>
      </c>
      <c r="U96" s="187">
        <f t="shared" si="364"/>
        <v>2.4</v>
      </c>
      <c r="V96" s="1093" t="s">
        <v>56</v>
      </c>
      <c r="W96" s="55" t="s">
        <v>99</v>
      </c>
      <c r="X96" s="155">
        <v>4</v>
      </c>
      <c r="Y96" s="53">
        <f t="shared" si="365"/>
        <v>100</v>
      </c>
      <c r="Z96" s="54">
        <f t="shared" si="366"/>
        <v>60</v>
      </c>
      <c r="AA96" s="419">
        <f t="shared" si="367"/>
        <v>60</v>
      </c>
      <c r="AB96" s="265">
        <v>10</v>
      </c>
      <c r="AC96" s="286">
        <v>10</v>
      </c>
      <c r="AD96" s="265"/>
      <c r="AE96" s="265">
        <v>20</v>
      </c>
      <c r="AF96" s="265"/>
      <c r="AG96" s="265"/>
      <c r="AH96" s="265"/>
      <c r="AI96" s="265"/>
      <c r="AJ96" s="265"/>
      <c r="AK96" s="265">
        <v>30</v>
      </c>
      <c r="AL96" s="265"/>
      <c r="AM96" s="265"/>
      <c r="AN96" s="265"/>
      <c r="AO96" s="265"/>
      <c r="AP96" s="265"/>
      <c r="AQ96" s="265"/>
      <c r="AR96" s="278"/>
      <c r="AS96" s="279">
        <v>40</v>
      </c>
      <c r="AT96" s="45"/>
      <c r="AU96" s="155"/>
      <c r="AV96" s="49">
        <f t="shared" si="368"/>
        <v>0</v>
      </c>
      <c r="AW96" s="54">
        <f t="shared" si="369"/>
        <v>0</v>
      </c>
      <c r="AX96" s="424">
        <f t="shared" si="370"/>
        <v>0</v>
      </c>
      <c r="AY96" s="265"/>
      <c r="AZ96" s="286"/>
      <c r="BA96" s="265"/>
      <c r="BB96" s="265"/>
      <c r="BC96" s="265"/>
      <c r="BD96" s="265"/>
      <c r="BE96" s="265"/>
      <c r="BF96" s="265"/>
      <c r="BG96" s="265"/>
      <c r="BH96" s="265"/>
      <c r="BI96" s="265"/>
      <c r="BJ96" s="265"/>
      <c r="BK96" s="265"/>
      <c r="BL96" s="265"/>
      <c r="BM96" s="265"/>
      <c r="BN96" s="265"/>
      <c r="BO96" s="278"/>
      <c r="BP96" s="309"/>
      <c r="BQ96" s="142">
        <f t="shared" si="371"/>
        <v>25</v>
      </c>
      <c r="BR96" s="209" t="str">
        <f t="shared" si="372"/>
        <v>Wartość prawidłowa</v>
      </c>
      <c r="BS96" s="926">
        <f t="shared" si="417"/>
        <v>50</v>
      </c>
      <c r="BT96" s="118">
        <f t="shared" si="418"/>
        <v>10</v>
      </c>
      <c r="BU96" s="118">
        <f t="shared" si="419"/>
        <v>0</v>
      </c>
      <c r="BV96" s="118">
        <f t="shared" si="420"/>
        <v>0</v>
      </c>
      <c r="BW96" s="118">
        <f t="shared" si="421"/>
        <v>40</v>
      </c>
      <c r="BX96" s="209">
        <f t="shared" si="422"/>
        <v>0</v>
      </c>
      <c r="BY96" s="927">
        <f t="shared" si="423"/>
        <v>100</v>
      </c>
      <c r="BZ96" s="928">
        <f t="shared" si="424"/>
        <v>2</v>
      </c>
      <c r="CA96" s="929">
        <f t="shared" si="425"/>
        <v>0.4</v>
      </c>
      <c r="CB96" s="929">
        <f t="shared" si="426"/>
        <v>0</v>
      </c>
      <c r="CC96" s="929">
        <f t="shared" si="427"/>
        <v>0</v>
      </c>
      <c r="CD96" s="929">
        <f t="shared" si="428"/>
        <v>1.6</v>
      </c>
      <c r="CE96" s="949">
        <f t="shared" si="429"/>
        <v>0</v>
      </c>
      <c r="CF96" s="963">
        <f t="shared" si="430"/>
        <v>4</v>
      </c>
      <c r="CG96" s="957">
        <f t="shared" si="373"/>
        <v>60</v>
      </c>
      <c r="CH96" s="209">
        <f t="shared" si="374"/>
        <v>10</v>
      </c>
      <c r="CI96" s="930">
        <f t="shared" si="375"/>
        <v>2.4</v>
      </c>
      <c r="CJ96" s="998">
        <f t="shared" si="376"/>
        <v>0.4</v>
      </c>
      <c r="CK96" s="1000">
        <f>Matryca!Q96</f>
        <v>2</v>
      </c>
      <c r="CL96" s="1001">
        <f>Matryca!R96</f>
        <v>8</v>
      </c>
      <c r="CM96" s="1002">
        <f>Matryca!S96</f>
        <v>2</v>
      </c>
    </row>
    <row r="97" spans="1:91" s="44" customFormat="1" ht="30" customHeight="1" x14ac:dyDescent="0.25">
      <c r="A97" s="45">
        <v>75</v>
      </c>
      <c r="B97" s="62"/>
      <c r="C97" s="61" t="s">
        <v>107</v>
      </c>
      <c r="D97" s="993" t="s">
        <v>499</v>
      </c>
      <c r="E97" s="31">
        <v>4</v>
      </c>
      <c r="F97" s="32" t="s">
        <v>470</v>
      </c>
      <c r="G97" s="61" t="s">
        <v>60</v>
      </c>
      <c r="H97" s="121"/>
      <c r="I97" s="121" t="s">
        <v>477</v>
      </c>
      <c r="J97" s="121"/>
      <c r="K97" s="121"/>
      <c r="L97" s="122" t="s">
        <v>417</v>
      </c>
      <c r="M97" s="65">
        <f t="shared" ref="M97" si="435">Y97+AV97</f>
        <v>50</v>
      </c>
      <c r="N97" s="66">
        <f t="shared" ref="N97" si="436">AS97+BP97</f>
        <v>15</v>
      </c>
      <c r="O97" s="72">
        <f t="shared" ref="O97" si="437">Z97+AW97</f>
        <v>35</v>
      </c>
      <c r="P97" s="425">
        <f t="shared" ref="P97" si="438">AA97+AX97</f>
        <v>35</v>
      </c>
      <c r="Q97" s="69">
        <f t="shared" ref="Q97" si="439">X97+AU97</f>
        <v>2</v>
      </c>
      <c r="R97" s="215">
        <f t="shared" ref="R97" si="440">IFERROR((AL97+BI97)*Q97/O97," ")</f>
        <v>0</v>
      </c>
      <c r="S97" s="215">
        <f t="shared" ref="S97" si="441">IFERROR(IF(L97="tak",(SUM(AE97:AL97,AQ97,BB97:BI97,BN97))*Q97/O97,0),0)</f>
        <v>1.7142857142857142</v>
      </c>
      <c r="T97" s="70">
        <f t="shared" ref="T97" si="442">IFERROR((AC97+AO97+AZ97+BL97)*Q97/O97," ")</f>
        <v>0.2857142857142857</v>
      </c>
      <c r="U97" s="324">
        <f t="shared" ref="U97" si="443">IFERROR((SUM(AB97,AD97:AN97,AY97,BA97:BK97,AP97:AQ97,BM97:BN97)*Q97/M97)," ")</f>
        <v>1.4</v>
      </c>
      <c r="V97" s="1094" t="s">
        <v>99</v>
      </c>
      <c r="W97" s="55" t="s">
        <v>99</v>
      </c>
      <c r="X97" s="206">
        <v>2</v>
      </c>
      <c r="Y97" s="71">
        <f t="shared" ref="Y97" si="444">AS97+Z97</f>
        <v>50</v>
      </c>
      <c r="Z97" s="72">
        <f t="shared" ref="Z97" si="445">AR97+AA97</f>
        <v>35</v>
      </c>
      <c r="AA97" s="423">
        <f t="shared" ref="AA97" si="446">(SUM(AB97:AQ97))-AC97</f>
        <v>35</v>
      </c>
      <c r="AB97" s="262">
        <v>5</v>
      </c>
      <c r="AC97" s="280">
        <v>5</v>
      </c>
      <c r="AD97" s="281"/>
      <c r="AE97" s="888">
        <v>30</v>
      </c>
      <c r="AG97" s="281"/>
      <c r="AH97" s="281"/>
      <c r="AI97" s="281"/>
      <c r="AJ97" s="281"/>
      <c r="AK97" s="281"/>
      <c r="AL97" s="281"/>
      <c r="AM97" s="281"/>
      <c r="AN97" s="281"/>
      <c r="AO97" s="281"/>
      <c r="AP97" s="281"/>
      <c r="AQ97" s="281"/>
      <c r="AR97" s="282"/>
      <c r="AS97" s="283">
        <v>15</v>
      </c>
      <c r="AT97" s="64"/>
      <c r="AU97" s="203"/>
      <c r="AV97" s="65">
        <f t="shared" ref="AV97" si="447">BP97+AW97</f>
        <v>0</v>
      </c>
      <c r="AW97" s="72">
        <f t="shared" ref="AW97" si="448">BO97+AX97</f>
        <v>0</v>
      </c>
      <c r="AX97" s="425">
        <f t="shared" ref="AX97" si="449">(SUM(AY97:BN97))-AZ97</f>
        <v>0</v>
      </c>
      <c r="AY97" s="281"/>
      <c r="AZ97" s="280"/>
      <c r="BA97" s="281"/>
      <c r="BB97" s="281"/>
      <c r="BC97" s="281"/>
      <c r="BD97" s="281"/>
      <c r="BE97" s="281"/>
      <c r="BF97" s="281"/>
      <c r="BG97" s="281"/>
      <c r="BH97" s="281"/>
      <c r="BI97" s="281"/>
      <c r="BJ97" s="281"/>
      <c r="BK97" s="281"/>
      <c r="BL97" s="281"/>
      <c r="BM97" s="281"/>
      <c r="BN97" s="281"/>
      <c r="BO97" s="282"/>
      <c r="BP97" s="283"/>
      <c r="BQ97" s="217">
        <f t="shared" ref="BQ97" si="450">IFERROR(M97/Q97," ")</f>
        <v>25</v>
      </c>
      <c r="BR97" s="210" t="str">
        <f t="shared" ref="BR97" si="451">IF(OR(BQ97&gt;30,BQ97&lt;25),"1 ECTS powinien mieścić się przedziale 25-30h","Wartość prawidłowa")</f>
        <v>Wartość prawidłowa</v>
      </c>
      <c r="BS97" s="926">
        <f t="shared" si="417"/>
        <v>30</v>
      </c>
      <c r="BT97" s="118">
        <f t="shared" si="418"/>
        <v>5</v>
      </c>
      <c r="BU97" s="118">
        <f t="shared" si="419"/>
        <v>0</v>
      </c>
      <c r="BV97" s="118">
        <f t="shared" si="420"/>
        <v>0</v>
      </c>
      <c r="BW97" s="118">
        <f t="shared" si="421"/>
        <v>15</v>
      </c>
      <c r="BX97" s="209">
        <f t="shared" si="422"/>
        <v>0</v>
      </c>
      <c r="BY97" s="927">
        <f t="shared" si="423"/>
        <v>50</v>
      </c>
      <c r="BZ97" s="928">
        <f t="shared" si="424"/>
        <v>1.2</v>
      </c>
      <c r="CA97" s="929">
        <f t="shared" si="425"/>
        <v>0.2</v>
      </c>
      <c r="CB97" s="929">
        <f t="shared" si="426"/>
        <v>0</v>
      </c>
      <c r="CC97" s="929">
        <f t="shared" si="427"/>
        <v>0</v>
      </c>
      <c r="CD97" s="929">
        <f t="shared" si="428"/>
        <v>0.6</v>
      </c>
      <c r="CE97" s="949">
        <f t="shared" si="429"/>
        <v>0</v>
      </c>
      <c r="CF97" s="963">
        <f t="shared" si="430"/>
        <v>2</v>
      </c>
      <c r="CG97" s="957">
        <f t="shared" ref="CG97" si="452">SUM(BS97:BT97,BX97)</f>
        <v>35</v>
      </c>
      <c r="CH97" s="209">
        <f t="shared" ref="CH97" si="453">SUM(BT97:BU97)</f>
        <v>5</v>
      </c>
      <c r="CI97" s="930">
        <f t="shared" ref="CI97" si="454">SUM(BZ97:CA97,CE97)</f>
        <v>1.4</v>
      </c>
      <c r="CJ97" s="998">
        <f t="shared" ref="CJ97" si="455">SUM(CA97:CB97)</f>
        <v>0.2</v>
      </c>
      <c r="CK97" s="1000">
        <f>Matryca!Q97</f>
        <v>2</v>
      </c>
      <c r="CL97" s="1001">
        <f>Matryca!R97</f>
        <v>6</v>
      </c>
      <c r="CM97" s="1002">
        <f>Matryca!S97</f>
        <v>3</v>
      </c>
    </row>
    <row r="98" spans="1:91" s="44" customFormat="1" ht="51" customHeight="1" x14ac:dyDescent="0.25">
      <c r="A98" s="45">
        <v>76</v>
      </c>
      <c r="B98" s="47"/>
      <c r="C98" s="46" t="s">
        <v>107</v>
      </c>
      <c r="D98" s="994" t="s">
        <v>499</v>
      </c>
      <c r="E98" s="31">
        <v>4</v>
      </c>
      <c r="F98" s="46" t="s">
        <v>470</v>
      </c>
      <c r="G98" s="46" t="s">
        <v>60</v>
      </c>
      <c r="H98" s="118"/>
      <c r="I98" s="118" t="s">
        <v>702</v>
      </c>
      <c r="J98" s="118"/>
      <c r="K98" s="118"/>
      <c r="L98" s="122" t="s">
        <v>417</v>
      </c>
      <c r="M98" s="65">
        <f t="shared" ref="M98" si="456">Y98+AV98</f>
        <v>100</v>
      </c>
      <c r="N98" s="66">
        <f t="shared" ref="N98" si="457">AS98+BP98</f>
        <v>50</v>
      </c>
      <c r="O98" s="72">
        <f t="shared" ref="O98" si="458">Z98+AW98</f>
        <v>50</v>
      </c>
      <c r="P98" s="425">
        <f t="shared" ref="P98" si="459">AA98+AX98</f>
        <v>50</v>
      </c>
      <c r="Q98" s="69">
        <f t="shared" ref="Q98" si="460">X98+AU98</f>
        <v>4</v>
      </c>
      <c r="R98" s="215">
        <f t="shared" ref="R98" si="461">IFERROR((AL98+BI98)*Q98/O98," ")</f>
        <v>0</v>
      </c>
      <c r="S98" s="76">
        <f t="shared" ref="S98" si="462">IFERROR(IF(L98="tak",(SUM(AE98:AL98,AQ98,BB98:BI98,BN98))*Q98/O98,0),0)</f>
        <v>2.8</v>
      </c>
      <c r="T98" s="70">
        <f t="shared" ref="T98" si="463">IFERROR((AC98+AO98+AZ98+BL98)*Q98/O98," ")</f>
        <v>1.2</v>
      </c>
      <c r="U98" s="324">
        <f t="shared" ref="U98" si="464">IFERROR((SUM(AB98,AD98:AN98,AY98,BA98:BK98,AP98:AQ98,BM98:BN98)*Q98/M98)," ")</f>
        <v>2</v>
      </c>
      <c r="V98" s="1093" t="s">
        <v>56</v>
      </c>
      <c r="W98" s="55"/>
      <c r="X98" s="155"/>
      <c r="Y98" s="71">
        <f t="shared" ref="Y98" si="465">AS98+Z98</f>
        <v>0</v>
      </c>
      <c r="Z98" s="72">
        <f t="shared" ref="Z98" si="466">AR98+AA98</f>
        <v>0</v>
      </c>
      <c r="AA98" s="423">
        <f t="shared" ref="AA98" si="467">(SUM(AB98:AQ98))-AC98</f>
        <v>0</v>
      </c>
      <c r="AB98" s="265"/>
      <c r="AC98" s="286"/>
      <c r="AD98" s="265"/>
      <c r="AE98" s="265"/>
      <c r="AF98" s="265"/>
      <c r="AG98" s="265"/>
      <c r="AH98" s="265"/>
      <c r="AI98" s="265"/>
      <c r="AJ98" s="265"/>
      <c r="AK98" s="265"/>
      <c r="AL98" s="265"/>
      <c r="AM98" s="265"/>
      <c r="AN98" s="265"/>
      <c r="AO98" s="265"/>
      <c r="AP98" s="265"/>
      <c r="AQ98" s="265"/>
      <c r="AR98" s="278"/>
      <c r="AS98" s="309"/>
      <c r="AT98" s="45" t="s">
        <v>99</v>
      </c>
      <c r="AU98" s="155">
        <v>4</v>
      </c>
      <c r="AV98" s="65">
        <f t="shared" ref="AV98" si="468">BP98+AW98</f>
        <v>100</v>
      </c>
      <c r="AW98" s="72">
        <f t="shared" ref="AW98" si="469">BO98+AX98</f>
        <v>50</v>
      </c>
      <c r="AX98" s="425">
        <f t="shared" ref="AX98" si="470">(SUM(AY98:BN98))-AZ98</f>
        <v>50</v>
      </c>
      <c r="AY98" s="265">
        <v>15</v>
      </c>
      <c r="AZ98" s="286">
        <v>15</v>
      </c>
      <c r="BA98" s="265"/>
      <c r="BB98" s="265">
        <v>35</v>
      </c>
      <c r="BC98" s="265"/>
      <c r="BD98" s="265"/>
      <c r="BE98" s="265"/>
      <c r="BF98" s="265"/>
      <c r="BG98" s="265"/>
      <c r="BH98" s="265"/>
      <c r="BI98" s="265"/>
      <c r="BJ98" s="265"/>
      <c r="BK98" s="265"/>
      <c r="BL98" s="265"/>
      <c r="BM98" s="265"/>
      <c r="BN98" s="265"/>
      <c r="BO98" s="278"/>
      <c r="BP98" s="309">
        <v>50</v>
      </c>
      <c r="BQ98" s="142">
        <f t="shared" ref="BQ98" si="471">IFERROR(M98/Q98," ")</f>
        <v>25</v>
      </c>
      <c r="BR98" s="209" t="str">
        <f t="shared" ref="BR98" si="472">IF(OR(BQ98&gt;30,BQ98&lt;25),"1 ECTS powinien mieścić się przedziale 25-30h","Wartość prawidłowa")</f>
        <v>Wartość prawidłowa</v>
      </c>
      <c r="BS98" s="926">
        <f t="shared" ref="BS98" si="473">SUM(AB98,AD98:AP98,AY98,BA98:BM98)-AC98-AZ98-AO98-BL98</f>
        <v>35</v>
      </c>
      <c r="BT98" s="118">
        <f t="shared" ref="BT98" si="474">AC98+AZ98</f>
        <v>15</v>
      </c>
      <c r="BU98" s="118">
        <f t="shared" ref="BU98" si="475">AO98+BL98</f>
        <v>0</v>
      </c>
      <c r="BV98" s="118">
        <f t="shared" ref="BV98" si="476">AR98+BO98</f>
        <v>0</v>
      </c>
      <c r="BW98" s="118">
        <f t="shared" ref="BW98" si="477">N98</f>
        <v>50</v>
      </c>
      <c r="BX98" s="209">
        <f t="shared" ref="BX98" si="478">AQ98+BN98</f>
        <v>0</v>
      </c>
      <c r="BY98" s="927">
        <f t="shared" ref="BY98" si="479">SUM(BS98:BX98)</f>
        <v>100</v>
      </c>
      <c r="BZ98" s="928">
        <f t="shared" ref="BZ98" si="480">IFERROR((BS98*Q98)/BY98," ")</f>
        <v>1.4</v>
      </c>
      <c r="CA98" s="929">
        <f t="shared" ref="CA98" si="481">IFERROR((BT98*Q98)/BY98," ")</f>
        <v>0.6</v>
      </c>
      <c r="CB98" s="929">
        <f t="shared" ref="CB98" si="482">IFERROR((BU98*Q98)/BY98," ")</f>
        <v>0</v>
      </c>
      <c r="CC98" s="929">
        <f t="shared" ref="CC98" si="483">IFERROR((BV98*Q98)/BY98," ")</f>
        <v>0</v>
      </c>
      <c r="CD98" s="929">
        <f t="shared" ref="CD98" si="484">IFERROR((BW98*Q98)/BY98," ")</f>
        <v>2</v>
      </c>
      <c r="CE98" s="949">
        <f t="shared" ref="CE98" si="485">IFERROR((BX98*Q98)/BY98," ")</f>
        <v>0</v>
      </c>
      <c r="CF98" s="963">
        <f t="shared" ref="CF98" si="486">IFERROR((SUM(BZ98:CE98))," ")</f>
        <v>4</v>
      </c>
      <c r="CG98" s="957">
        <f t="shared" ref="CG98" si="487">SUM(BS98:BT98,BX98)</f>
        <v>50</v>
      </c>
      <c r="CH98" s="209">
        <f t="shared" ref="CH98" si="488">SUM(BT98:BU98)</f>
        <v>15</v>
      </c>
      <c r="CI98" s="930">
        <f t="shared" ref="CI98" si="489">SUM(BZ98:CA98,CE98)</f>
        <v>2</v>
      </c>
      <c r="CJ98" s="998">
        <f t="shared" ref="CJ98" si="490">SUM(CA98:CB98)</f>
        <v>0.6</v>
      </c>
      <c r="CK98" s="1000">
        <f>Matryca!Q98</f>
        <v>2</v>
      </c>
      <c r="CL98" s="1001">
        <f>Matryca!R98</f>
        <v>6</v>
      </c>
      <c r="CM98" s="1002">
        <f>Matryca!S98</f>
        <v>0</v>
      </c>
    </row>
    <row r="99" spans="1:91" s="44" customFormat="1" ht="30" customHeight="1" x14ac:dyDescent="0.25">
      <c r="A99" s="45">
        <v>77</v>
      </c>
      <c r="B99" s="62"/>
      <c r="C99" s="61" t="s">
        <v>107</v>
      </c>
      <c r="D99" s="993" t="s">
        <v>499</v>
      </c>
      <c r="E99" s="31">
        <v>4</v>
      </c>
      <c r="F99" s="32" t="s">
        <v>470</v>
      </c>
      <c r="G99" s="61" t="s">
        <v>60</v>
      </c>
      <c r="H99" s="121"/>
      <c r="I99" s="1115" t="s">
        <v>949</v>
      </c>
      <c r="J99" s="121"/>
      <c r="K99" s="121"/>
      <c r="L99" s="122" t="s">
        <v>417</v>
      </c>
      <c r="M99" s="65">
        <f t="shared" ref="M99" si="491">Y99+AV99</f>
        <v>75</v>
      </c>
      <c r="N99" s="66">
        <f t="shared" ref="N99" si="492">AS99+BP99</f>
        <v>15</v>
      </c>
      <c r="O99" s="72">
        <f t="shared" ref="O99" si="493">Z99+AW99</f>
        <v>60</v>
      </c>
      <c r="P99" s="425">
        <f t="shared" ref="P99" si="494">AA99+AX99</f>
        <v>60</v>
      </c>
      <c r="Q99" s="69">
        <f t="shared" ref="Q99" si="495">X99+AU99</f>
        <v>3</v>
      </c>
      <c r="R99" s="215">
        <f t="shared" ref="R99" si="496">IFERROR((AL99+BI99)*Q99/O99," ")</f>
        <v>0</v>
      </c>
      <c r="S99" s="76">
        <f t="shared" ref="S99" si="497">IFERROR(IF(L99="tak",(SUM(AE99:AL99,AQ99,BB99:BI99,BN99))*Q99/O99,0),0)</f>
        <v>2.5</v>
      </c>
      <c r="T99" s="70">
        <f t="shared" ref="T99" si="498">IFERROR((AC99+AO99+AZ99+BL99)*Q99/O99," ")</f>
        <v>0.5</v>
      </c>
      <c r="U99" s="324">
        <f t="shared" ref="U99" si="499">IFERROR((SUM(AB99,AD99:AN99,AY99,BA99:BK99,AP99:AQ99,BM99:BN99)*Q99/M99)," ")</f>
        <v>2.4</v>
      </c>
      <c r="V99" s="1094" t="s">
        <v>56</v>
      </c>
      <c r="W99" s="89" t="s">
        <v>99</v>
      </c>
      <c r="X99" s="206">
        <v>3</v>
      </c>
      <c r="Y99" s="71">
        <f t="shared" ref="Y99" si="500">AS99+Z99</f>
        <v>75</v>
      </c>
      <c r="Z99" s="72">
        <f t="shared" ref="Z99" si="501">AR99+AA99</f>
        <v>60</v>
      </c>
      <c r="AA99" s="423">
        <f t="shared" ref="AA99" si="502">(SUM(AB99:AQ99))-AC99</f>
        <v>60</v>
      </c>
      <c r="AB99" s="262">
        <v>10</v>
      </c>
      <c r="AC99" s="280">
        <v>10</v>
      </c>
      <c r="AD99" s="281"/>
      <c r="AE99" s="888">
        <v>50</v>
      </c>
      <c r="AG99" s="281"/>
      <c r="AH99" s="281"/>
      <c r="AI99" s="281"/>
      <c r="AJ99" s="281"/>
      <c r="AK99" s="281"/>
      <c r="AL99" s="281"/>
      <c r="AM99" s="281"/>
      <c r="AN99" s="281"/>
      <c r="AO99" s="281"/>
      <c r="AP99" s="281"/>
      <c r="AQ99" s="281"/>
      <c r="AR99" s="282"/>
      <c r="AS99" s="283">
        <v>15</v>
      </c>
      <c r="AT99" s="45"/>
      <c r="AU99" s="203"/>
      <c r="AV99" s="65">
        <f t="shared" ref="AV99" si="503">BP99+AW99</f>
        <v>0</v>
      </c>
      <c r="AW99" s="72">
        <f t="shared" ref="AW99" si="504">BO99+AX99</f>
        <v>0</v>
      </c>
      <c r="AX99" s="425">
        <f t="shared" ref="AX99" si="505">(SUM(AY99:BN99))-AZ99</f>
        <v>0</v>
      </c>
      <c r="AY99" s="281"/>
      <c r="AZ99" s="280"/>
      <c r="BA99" s="281"/>
      <c r="BB99" s="281"/>
      <c r="BC99" s="281"/>
      <c r="BD99" s="281"/>
      <c r="BE99" s="281"/>
      <c r="BF99" s="281"/>
      <c r="BG99" s="281"/>
      <c r="BH99" s="281"/>
      <c r="BI99" s="281"/>
      <c r="BJ99" s="281"/>
      <c r="BK99" s="281"/>
      <c r="BL99" s="281"/>
      <c r="BM99" s="281"/>
      <c r="BN99" s="281"/>
      <c r="BO99" s="282"/>
      <c r="BP99" s="283"/>
      <c r="BQ99" s="217">
        <f t="shared" ref="BQ99" si="506">IFERROR(M99/Q99," ")</f>
        <v>25</v>
      </c>
      <c r="BR99" s="210" t="str">
        <f t="shared" ref="BR99" si="507">IF(OR(BQ99&gt;30,BQ99&lt;25),"1 ECTS powinien mieścić się przedziale 25-30h","Wartość prawidłowa")</f>
        <v>Wartość prawidłowa</v>
      </c>
      <c r="BS99" s="926">
        <f t="shared" ref="BS99" si="508">SUM(AB99,AD99:AP99,AY99,BA99:BM99)-AC99-AZ99-AO99-BL99</f>
        <v>50</v>
      </c>
      <c r="BT99" s="118">
        <f t="shared" ref="BT99" si="509">AC99+AZ99</f>
        <v>10</v>
      </c>
      <c r="BU99" s="118">
        <f t="shared" ref="BU99" si="510">AO99+BL99</f>
        <v>0</v>
      </c>
      <c r="BV99" s="118">
        <f t="shared" ref="BV99" si="511">AR99+BO99</f>
        <v>0</v>
      </c>
      <c r="BW99" s="118">
        <f t="shared" ref="BW99" si="512">N99</f>
        <v>15</v>
      </c>
      <c r="BX99" s="209">
        <f t="shared" ref="BX99" si="513">AQ99+BN99</f>
        <v>0</v>
      </c>
      <c r="BY99" s="927">
        <f t="shared" ref="BY99" si="514">SUM(BS99:BX99)</f>
        <v>75</v>
      </c>
      <c r="BZ99" s="928">
        <f t="shared" ref="BZ99" si="515">IFERROR((BS99*Q99)/BY99," ")</f>
        <v>2</v>
      </c>
      <c r="CA99" s="929">
        <f t="shared" ref="CA99" si="516">IFERROR((BT99*Q99)/BY99," ")</f>
        <v>0.4</v>
      </c>
      <c r="CB99" s="929">
        <f t="shared" ref="CB99" si="517">IFERROR((BU99*Q99)/BY99," ")</f>
        <v>0</v>
      </c>
      <c r="CC99" s="929">
        <f t="shared" ref="CC99" si="518">IFERROR((BV99*Q99)/BY99," ")</f>
        <v>0</v>
      </c>
      <c r="CD99" s="929">
        <f t="shared" ref="CD99" si="519">IFERROR((BW99*Q99)/BY99," ")</f>
        <v>0.6</v>
      </c>
      <c r="CE99" s="949">
        <f t="shared" ref="CE99" si="520">IFERROR((BX99*Q99)/BY99," ")</f>
        <v>0</v>
      </c>
      <c r="CF99" s="963">
        <f t="shared" ref="CF99" si="521">IFERROR((SUM(BZ99:CE99))," ")</f>
        <v>3</v>
      </c>
      <c r="CG99" s="957">
        <f t="shared" ref="CG99" si="522">SUM(BS99:BT99,BX99)</f>
        <v>60</v>
      </c>
      <c r="CH99" s="209">
        <f t="shared" ref="CH99" si="523">SUM(BT99:BU99)</f>
        <v>10</v>
      </c>
      <c r="CI99" s="930">
        <f t="shared" ref="CI99" si="524">SUM(BZ99:CA99,CE99)</f>
        <v>2.4</v>
      </c>
      <c r="CJ99" s="998">
        <f t="shared" ref="CJ99" si="525">SUM(CA99:CB99)</f>
        <v>0.4</v>
      </c>
      <c r="CK99" s="1000">
        <f>Matryca!Q99</f>
        <v>2</v>
      </c>
      <c r="CL99" s="1001">
        <f>Matryca!R99</f>
        <v>3</v>
      </c>
      <c r="CM99" s="1002">
        <f>Matryca!S99</f>
        <v>4</v>
      </c>
    </row>
    <row r="100" spans="1:91" s="44" customFormat="1" ht="30" customHeight="1" x14ac:dyDescent="0.25">
      <c r="A100" s="45">
        <v>78</v>
      </c>
      <c r="B100" s="62"/>
      <c r="C100" s="61" t="s">
        <v>107</v>
      </c>
      <c r="D100" s="993" t="s">
        <v>499</v>
      </c>
      <c r="E100" s="31">
        <v>4</v>
      </c>
      <c r="F100" s="32" t="s">
        <v>470</v>
      </c>
      <c r="G100" s="61" t="s">
        <v>60</v>
      </c>
      <c r="H100" s="121"/>
      <c r="I100" s="118" t="s">
        <v>476</v>
      </c>
      <c r="J100" s="121"/>
      <c r="K100" s="121"/>
      <c r="L100" s="122" t="s">
        <v>417</v>
      </c>
      <c r="M100" s="65">
        <f t="shared" ref="M100" si="526">Y100+AV100</f>
        <v>100</v>
      </c>
      <c r="N100" s="66">
        <f t="shared" ref="N100" si="527">AS100+BP100</f>
        <v>30</v>
      </c>
      <c r="O100" s="72">
        <f t="shared" ref="O100" si="528">Z100+AW100</f>
        <v>70</v>
      </c>
      <c r="P100" s="425">
        <f t="shared" ref="P100" si="529">AA100+AX100</f>
        <v>70</v>
      </c>
      <c r="Q100" s="69">
        <f t="shared" ref="Q100" si="530">X100+AU100</f>
        <v>4</v>
      </c>
      <c r="R100" s="215">
        <f t="shared" ref="R100" si="531">IFERROR((AL100+BI100)*Q100/O100," ")</f>
        <v>0</v>
      </c>
      <c r="S100" s="215">
        <f t="shared" ref="S100" si="532">IFERROR(IF(L100="tak",(SUM(AE100:AL100,AQ100,BB100:BI100,BN100))*Q100/O100,0),0)</f>
        <v>3.4285714285714284</v>
      </c>
      <c r="T100" s="70">
        <f t="shared" ref="T100" si="533">IFERROR((AC100+AO100+AZ100+BL100)*Q100/O100," ")</f>
        <v>0.5714285714285714</v>
      </c>
      <c r="U100" s="324">
        <f t="shared" ref="U100" si="534">IFERROR((SUM(AB100,AD100:AN100,AY100,BA100:BK100,AP100:AQ100,BM100:BN100)*Q100/M100)," ")</f>
        <v>2.8</v>
      </c>
      <c r="V100" s="1094" t="s">
        <v>56</v>
      </c>
      <c r="W100" s="89" t="s">
        <v>99</v>
      </c>
      <c r="X100" s="206">
        <v>4</v>
      </c>
      <c r="Y100" s="71">
        <f t="shared" ref="Y100" si="535">AS100+Z100</f>
        <v>100</v>
      </c>
      <c r="Z100" s="72">
        <f t="shared" ref="Z100" si="536">AR100+AA100</f>
        <v>70</v>
      </c>
      <c r="AA100" s="423">
        <f t="shared" ref="AA100" si="537">(SUM(AB100:AQ100))-AC100</f>
        <v>70</v>
      </c>
      <c r="AB100" s="262">
        <v>10</v>
      </c>
      <c r="AC100" s="280">
        <v>10</v>
      </c>
      <c r="AD100" s="281"/>
      <c r="AE100" s="281">
        <v>10</v>
      </c>
      <c r="AF100" s="265"/>
      <c r="AG100" s="281"/>
      <c r="AH100" s="281"/>
      <c r="AI100" s="281"/>
      <c r="AJ100" s="281"/>
      <c r="AK100" s="281">
        <v>50</v>
      </c>
      <c r="AL100" s="281"/>
      <c r="AM100" s="281"/>
      <c r="AN100" s="281"/>
      <c r="AO100" s="281"/>
      <c r="AP100" s="281"/>
      <c r="AQ100" s="281"/>
      <c r="AR100" s="282"/>
      <c r="AS100" s="283">
        <v>30</v>
      </c>
      <c r="AT100" s="64"/>
      <c r="AU100" s="203"/>
      <c r="AV100" s="65">
        <f t="shared" ref="AV100" si="538">BP100+AW100</f>
        <v>0</v>
      </c>
      <c r="AW100" s="72">
        <f t="shared" ref="AW100" si="539">BO100+AX100</f>
        <v>0</v>
      </c>
      <c r="AX100" s="425">
        <f t="shared" ref="AX100" si="540">(SUM(AY100:BN100))-AZ100</f>
        <v>0</v>
      </c>
      <c r="AY100" s="281"/>
      <c r="AZ100" s="280"/>
      <c r="BA100" s="281"/>
      <c r="BB100" s="281"/>
      <c r="BC100" s="281"/>
      <c r="BD100" s="281"/>
      <c r="BE100" s="281"/>
      <c r="BF100" s="281"/>
      <c r="BG100" s="281"/>
      <c r="BH100" s="281"/>
      <c r="BI100" s="281"/>
      <c r="BJ100" s="281"/>
      <c r="BK100" s="281"/>
      <c r="BL100" s="281"/>
      <c r="BM100" s="281"/>
      <c r="BN100" s="281"/>
      <c r="BO100" s="282"/>
      <c r="BP100" s="283"/>
      <c r="BQ100" s="217">
        <f t="shared" ref="BQ100" si="541">IFERROR(M100/Q100," ")</f>
        <v>25</v>
      </c>
      <c r="BR100" s="210" t="str">
        <f t="shared" ref="BR100" si="542">IF(OR(BQ100&gt;30,BQ100&lt;25),"1 ECTS powinien mieścić się przedziale 25-30h","Wartość prawidłowa")</f>
        <v>Wartość prawidłowa</v>
      </c>
      <c r="BS100" s="926">
        <f t="shared" ref="BS100" si="543">SUM(AB100,AD100:AP100,AY100,BA100:BM100)-AC100-AZ100-AO100-BL100</f>
        <v>60</v>
      </c>
      <c r="BT100" s="118">
        <f t="shared" ref="BT100" si="544">AC100+AZ100</f>
        <v>10</v>
      </c>
      <c r="BU100" s="118">
        <f t="shared" ref="BU100" si="545">AO100+BL100</f>
        <v>0</v>
      </c>
      <c r="BV100" s="118">
        <f t="shared" ref="BV100" si="546">AR100+BO100</f>
        <v>0</v>
      </c>
      <c r="BW100" s="118">
        <f t="shared" ref="BW100" si="547">N100</f>
        <v>30</v>
      </c>
      <c r="BX100" s="209">
        <f t="shared" ref="BX100" si="548">AQ100+BN100</f>
        <v>0</v>
      </c>
      <c r="BY100" s="927">
        <f t="shared" ref="BY100" si="549">SUM(BS100:BX100)</f>
        <v>100</v>
      </c>
      <c r="BZ100" s="928">
        <f t="shared" ref="BZ100" si="550">IFERROR((BS100*Q100)/BY100," ")</f>
        <v>2.4</v>
      </c>
      <c r="CA100" s="929">
        <f t="shared" ref="CA100" si="551">IFERROR((BT100*Q100)/BY100," ")</f>
        <v>0.4</v>
      </c>
      <c r="CB100" s="929">
        <f t="shared" ref="CB100" si="552">IFERROR((BU100*Q100)/BY100," ")</f>
        <v>0</v>
      </c>
      <c r="CC100" s="929">
        <f t="shared" ref="CC100" si="553">IFERROR((BV100*Q100)/BY100," ")</f>
        <v>0</v>
      </c>
      <c r="CD100" s="929">
        <f t="shared" ref="CD100" si="554">IFERROR((BW100*Q100)/BY100," ")</f>
        <v>1.2</v>
      </c>
      <c r="CE100" s="949">
        <f t="shared" ref="CE100" si="555">IFERROR((BX100*Q100)/BY100," ")</f>
        <v>0</v>
      </c>
      <c r="CF100" s="963">
        <f t="shared" ref="CF100" si="556">IFERROR((SUM(BZ100:CE100))," ")</f>
        <v>4</v>
      </c>
      <c r="CG100" s="957">
        <f t="shared" ref="CG100" si="557">SUM(BS100:BT100,BX100)</f>
        <v>70</v>
      </c>
      <c r="CH100" s="209">
        <f t="shared" ref="CH100" si="558">SUM(BT100:BU100)</f>
        <v>10</v>
      </c>
      <c r="CI100" s="930">
        <f t="shared" ref="CI100" si="559">SUM(BZ100:CA100,CE100)</f>
        <v>2.8</v>
      </c>
      <c r="CJ100" s="998">
        <f t="shared" ref="CJ100" si="560">SUM(CA100:CB100)</f>
        <v>0.4</v>
      </c>
      <c r="CK100" s="1000">
        <f>Matryca!Q100</f>
        <v>3</v>
      </c>
      <c r="CL100" s="1001">
        <f>Matryca!R100</f>
        <v>7</v>
      </c>
      <c r="CM100" s="1002">
        <f>Matryca!S100</f>
        <v>1</v>
      </c>
    </row>
    <row r="101" spans="1:91" s="44" customFormat="1" ht="30" customHeight="1" x14ac:dyDescent="0.25">
      <c r="A101" s="45">
        <v>79</v>
      </c>
      <c r="B101" s="47"/>
      <c r="C101" s="61" t="s">
        <v>107</v>
      </c>
      <c r="D101" s="993" t="s">
        <v>499</v>
      </c>
      <c r="E101" s="31">
        <v>4</v>
      </c>
      <c r="F101" s="32" t="s">
        <v>470</v>
      </c>
      <c r="G101" s="61" t="s">
        <v>60</v>
      </c>
      <c r="H101" s="63"/>
      <c r="I101" s="121" t="s">
        <v>527</v>
      </c>
      <c r="J101" s="121"/>
      <c r="K101" s="121"/>
      <c r="L101" s="122" t="s">
        <v>417</v>
      </c>
      <c r="M101" s="49">
        <f t="shared" ref="M101" si="561">Y101+AV101</f>
        <v>75</v>
      </c>
      <c r="N101" s="50">
        <f t="shared" ref="N101" si="562">AS101+BP101</f>
        <v>30</v>
      </c>
      <c r="O101" s="54">
        <f t="shared" ref="O101" si="563">Z101+AW101</f>
        <v>45</v>
      </c>
      <c r="P101" s="424">
        <f t="shared" ref="P101" si="564">AA101+AX101</f>
        <v>45</v>
      </c>
      <c r="Q101" s="52">
        <f t="shared" ref="Q101" si="565">X101+AU101</f>
        <v>3</v>
      </c>
      <c r="R101" s="76">
        <f t="shared" ref="R101" si="566">IFERROR((AL101+BI101)*Q101/O101," ")</f>
        <v>0</v>
      </c>
      <c r="S101" s="76">
        <f t="shared" ref="S101" si="567">IFERROR(IF(L101="tak",(SUM(AE101:AL101,AQ101,BB101:BI101,BN101))*Q101/O101,0),0)</f>
        <v>2.6666666666666665</v>
      </c>
      <c r="T101" s="39">
        <f t="shared" ref="T101" si="568">IFERROR((AC101+AO101+AZ101+BL101)*Q101/O101," ")</f>
        <v>0.33333333333333331</v>
      </c>
      <c r="U101" s="187">
        <f t="shared" ref="U101" si="569">IFERROR((SUM(AB101,AD101:AN101,AY101,BA101:BK101,AP101:AQ101,BM101:BN101)*Q101/M101)," ")</f>
        <v>1.8</v>
      </c>
      <c r="V101" s="1093" t="s">
        <v>99</v>
      </c>
      <c r="W101" s="55" t="s">
        <v>99</v>
      </c>
      <c r="X101" s="155">
        <v>3</v>
      </c>
      <c r="Y101" s="53">
        <f t="shared" ref="Y101" si="570">AS101+Z101</f>
        <v>75</v>
      </c>
      <c r="Z101" s="54">
        <f t="shared" ref="Z101" si="571">AR101+AA101</f>
        <v>45</v>
      </c>
      <c r="AA101" s="419">
        <f t="shared" ref="AA101" si="572">(SUM(AB101:AQ101))-AC101</f>
        <v>45</v>
      </c>
      <c r="AB101" s="265">
        <v>5</v>
      </c>
      <c r="AC101" s="286">
        <v>5</v>
      </c>
      <c r="AD101" s="265"/>
      <c r="AE101" s="886">
        <v>40</v>
      </c>
      <c r="AG101" s="265"/>
      <c r="AH101" s="265"/>
      <c r="AI101" s="265"/>
      <c r="AJ101" s="265"/>
      <c r="AK101" s="265"/>
      <c r="AL101" s="265"/>
      <c r="AM101" s="265"/>
      <c r="AN101" s="265"/>
      <c r="AO101" s="265"/>
      <c r="AP101" s="265"/>
      <c r="AQ101" s="265"/>
      <c r="AR101" s="278"/>
      <c r="AS101" s="279">
        <v>30</v>
      </c>
      <c r="AT101" s="45"/>
      <c r="AU101" s="155"/>
      <c r="AV101" s="49">
        <f t="shared" ref="AV101" si="573">BP101+AW101</f>
        <v>0</v>
      </c>
      <c r="AW101" s="54">
        <f t="shared" ref="AW101" si="574">BO101+AX101</f>
        <v>0</v>
      </c>
      <c r="AX101" s="424">
        <f t="shared" ref="AX101" si="575">(SUM(AY101:BN101))-AZ101</f>
        <v>0</v>
      </c>
      <c r="AY101" s="265"/>
      <c r="AZ101" s="286"/>
      <c r="BA101" s="265"/>
      <c r="BB101" s="265"/>
      <c r="BC101" s="265"/>
      <c r="BD101" s="265"/>
      <c r="BE101" s="265"/>
      <c r="BF101" s="265"/>
      <c r="BG101" s="265"/>
      <c r="BH101" s="265"/>
      <c r="BI101" s="265"/>
      <c r="BJ101" s="265"/>
      <c r="BK101" s="265"/>
      <c r="BL101" s="265"/>
      <c r="BM101" s="265"/>
      <c r="BN101" s="265"/>
      <c r="BO101" s="278"/>
      <c r="BP101" s="309"/>
      <c r="BQ101" s="142">
        <f t="shared" ref="BQ101" si="576">IFERROR(M101/Q101," ")</f>
        <v>25</v>
      </c>
      <c r="BR101" s="209" t="str">
        <f t="shared" ref="BR101" si="577">IF(OR(BQ101&gt;30,BQ101&lt;25),"1 ECTS powinien mieścić się przedziale 25-30h","Wartość prawidłowa")</f>
        <v>Wartość prawidłowa</v>
      </c>
      <c r="BS101" s="926">
        <f t="shared" ref="BS101" si="578">SUM(AB101,AD101:AP101,AY101,BA101:BM101)-AC101-AZ101-AO101-BL101</f>
        <v>40</v>
      </c>
      <c r="BT101" s="118">
        <f t="shared" ref="BT101" si="579">AC101+AZ101</f>
        <v>5</v>
      </c>
      <c r="BU101" s="118">
        <f t="shared" ref="BU101" si="580">AO101+BL101</f>
        <v>0</v>
      </c>
      <c r="BV101" s="118">
        <f t="shared" ref="BV101" si="581">AR101+BO101</f>
        <v>0</v>
      </c>
      <c r="BW101" s="118">
        <f t="shared" ref="BW101" si="582">N101</f>
        <v>30</v>
      </c>
      <c r="BX101" s="209">
        <f t="shared" ref="BX101" si="583">AQ101+BN101</f>
        <v>0</v>
      </c>
      <c r="BY101" s="927">
        <f t="shared" ref="BY101" si="584">SUM(BS101:BX101)</f>
        <v>75</v>
      </c>
      <c r="BZ101" s="928">
        <f t="shared" ref="BZ101" si="585">IFERROR((BS101*Q101)/BY101," ")</f>
        <v>1.6</v>
      </c>
      <c r="CA101" s="929">
        <f t="shared" ref="CA101" si="586">IFERROR((BT101*Q101)/BY101," ")</f>
        <v>0.2</v>
      </c>
      <c r="CB101" s="929">
        <f t="shared" ref="CB101" si="587">IFERROR((BU101*Q101)/BY101," ")</f>
        <v>0</v>
      </c>
      <c r="CC101" s="929">
        <f t="shared" ref="CC101" si="588">IFERROR((BV101*Q101)/BY101," ")</f>
        <v>0</v>
      </c>
      <c r="CD101" s="929">
        <f t="shared" ref="CD101" si="589">IFERROR((BW101*Q101)/BY101," ")</f>
        <v>1.2</v>
      </c>
      <c r="CE101" s="949">
        <f t="shared" ref="CE101" si="590">IFERROR((BX101*Q101)/BY101," ")</f>
        <v>0</v>
      </c>
      <c r="CF101" s="963">
        <f t="shared" ref="CF101" si="591">IFERROR((SUM(BZ101:CE101))," ")</f>
        <v>3</v>
      </c>
      <c r="CG101" s="957">
        <f t="shared" ref="CG101" si="592">SUM(BS101:BT101,BX101)</f>
        <v>45</v>
      </c>
      <c r="CH101" s="209">
        <f t="shared" ref="CH101" si="593">SUM(BT101:BU101)</f>
        <v>5</v>
      </c>
      <c r="CI101" s="930">
        <f t="shared" ref="CI101" si="594">SUM(BZ101:CA101,CE101)</f>
        <v>1.8</v>
      </c>
      <c r="CJ101" s="998">
        <f t="shared" ref="CJ101" si="595">SUM(CA101:CB101)</f>
        <v>0.2</v>
      </c>
      <c r="CK101" s="1000">
        <f>Matryca!Q101</f>
        <v>2</v>
      </c>
      <c r="CL101" s="1001">
        <f>Matryca!R101</f>
        <v>7</v>
      </c>
      <c r="CM101" s="1002">
        <f>Matryca!S101</f>
        <v>3</v>
      </c>
    </row>
    <row r="102" spans="1:91" s="44" customFormat="1" ht="30" customHeight="1" x14ac:dyDescent="0.25">
      <c r="A102" s="45">
        <v>80</v>
      </c>
      <c r="B102" s="47"/>
      <c r="C102" s="46" t="s">
        <v>107</v>
      </c>
      <c r="D102" s="994" t="s">
        <v>499</v>
      </c>
      <c r="E102" s="47">
        <v>4</v>
      </c>
      <c r="F102" s="46" t="s">
        <v>470</v>
      </c>
      <c r="G102" s="46" t="s">
        <v>60</v>
      </c>
      <c r="H102" s="118"/>
      <c r="I102" s="118" t="s">
        <v>481</v>
      </c>
      <c r="J102" s="118"/>
      <c r="K102" s="118"/>
      <c r="L102" s="122" t="s">
        <v>417</v>
      </c>
      <c r="M102" s="49">
        <f t="shared" ref="M102" si="596">Y102+AV102</f>
        <v>75</v>
      </c>
      <c r="N102" s="50">
        <f t="shared" ref="N102" si="597">AS102+BP102</f>
        <v>30</v>
      </c>
      <c r="O102" s="54">
        <f t="shared" ref="O102" si="598">Z102+AW102</f>
        <v>45</v>
      </c>
      <c r="P102" s="424">
        <f t="shared" ref="P102" si="599">AA102+AX102</f>
        <v>45</v>
      </c>
      <c r="Q102" s="52">
        <f t="shared" ref="Q102" si="600">X102+AU102</f>
        <v>3</v>
      </c>
      <c r="R102" s="76">
        <f t="shared" ref="R102" si="601">IFERROR((AL102+BI102)*Q102/O102," ")</f>
        <v>0</v>
      </c>
      <c r="S102" s="76">
        <f t="shared" ref="S102" si="602">IFERROR(IF(L102="tak",(SUM(AE102:AL102,AQ102,BB102:BI102,BN102))*Q102/O102,0),0)</f>
        <v>2.6666666666666665</v>
      </c>
      <c r="T102" s="39">
        <f t="shared" ref="T102" si="603">IFERROR((AC102+AO102+AZ102+BL102)*Q102/O102," ")</f>
        <v>0.33333333333333331</v>
      </c>
      <c r="U102" s="187">
        <f t="shared" ref="U102" si="604">IFERROR((SUM(AB102,AD102:AN102,AY102,BA102:BK102,AP102:AQ102,BM102:BN102)*Q102/M102)," ")</f>
        <v>1.8</v>
      </c>
      <c r="V102" s="1093" t="s">
        <v>56</v>
      </c>
      <c r="W102" s="55"/>
      <c r="X102" s="155"/>
      <c r="Y102" s="53">
        <f t="shared" ref="Y102" si="605">AS102+Z102</f>
        <v>0</v>
      </c>
      <c r="Z102" s="54">
        <f t="shared" ref="Z102" si="606">AR102+AA102</f>
        <v>0</v>
      </c>
      <c r="AA102" s="419">
        <f t="shared" ref="AA102" si="607">(SUM(AB102:AQ102))-AC102</f>
        <v>0</v>
      </c>
      <c r="AB102" s="260"/>
      <c r="AC102" s="277"/>
      <c r="AD102" s="265"/>
      <c r="AE102" s="265"/>
      <c r="AF102" s="265"/>
      <c r="AG102" s="265"/>
      <c r="AH102" s="265"/>
      <c r="AI102" s="265"/>
      <c r="AJ102" s="265"/>
      <c r="AK102" s="265"/>
      <c r="AL102" s="265"/>
      <c r="AM102" s="265"/>
      <c r="AN102" s="265"/>
      <c r="AO102" s="265"/>
      <c r="AP102" s="265"/>
      <c r="AQ102" s="265"/>
      <c r="AR102" s="278"/>
      <c r="AS102" s="279"/>
      <c r="AT102" s="45" t="s">
        <v>99</v>
      </c>
      <c r="AU102" s="202">
        <v>3</v>
      </c>
      <c r="AV102" s="49">
        <f t="shared" ref="AV102" si="608">BP102+AW102</f>
        <v>75</v>
      </c>
      <c r="AW102" s="54">
        <f t="shared" ref="AW102" si="609">BO102+AX102</f>
        <v>45</v>
      </c>
      <c r="AX102" s="424">
        <f t="shared" ref="AX102" si="610">(SUM(AY102:BN102))-AZ102</f>
        <v>45</v>
      </c>
      <c r="AY102" s="265">
        <v>5</v>
      </c>
      <c r="AZ102" s="277">
        <v>5</v>
      </c>
      <c r="BA102" s="265"/>
      <c r="BB102" s="265">
        <v>40</v>
      </c>
      <c r="BC102" s="265"/>
      <c r="BD102" s="265"/>
      <c r="BE102" s="265"/>
      <c r="BF102" s="265"/>
      <c r="BG102" s="265"/>
      <c r="BH102" s="265"/>
      <c r="BI102" s="265"/>
      <c r="BJ102" s="265"/>
      <c r="BK102" s="265"/>
      <c r="BL102" s="265"/>
      <c r="BM102" s="265"/>
      <c r="BN102" s="265"/>
      <c r="BO102" s="278"/>
      <c r="BP102" s="279">
        <v>30</v>
      </c>
      <c r="BQ102" s="142">
        <f t="shared" ref="BQ102" si="611">IFERROR(M102/Q102," ")</f>
        <v>25</v>
      </c>
      <c r="BR102" s="209" t="str">
        <f t="shared" ref="BR102" si="612">IF(OR(BQ102&gt;30,BQ102&lt;25),"1 ECTS powinien mieścić się przedziale 25-30h","Wartość prawidłowa")</f>
        <v>Wartość prawidłowa</v>
      </c>
      <c r="BS102" s="926">
        <f t="shared" ref="BS102" si="613">SUM(AB102,AD102:AP102,AY102,BA102:BM102)-AC102-AZ102-AO102-BL102</f>
        <v>40</v>
      </c>
      <c r="BT102" s="118">
        <f t="shared" ref="BT102" si="614">AC102+AZ102</f>
        <v>5</v>
      </c>
      <c r="BU102" s="118">
        <f t="shared" ref="BU102" si="615">AO102+BL102</f>
        <v>0</v>
      </c>
      <c r="BV102" s="118">
        <f t="shared" ref="BV102" si="616">AR102+BO102</f>
        <v>0</v>
      </c>
      <c r="BW102" s="118">
        <f t="shared" ref="BW102" si="617">N102</f>
        <v>30</v>
      </c>
      <c r="BX102" s="209">
        <f t="shared" ref="BX102" si="618">AQ102+BN102</f>
        <v>0</v>
      </c>
      <c r="BY102" s="927">
        <f t="shared" ref="BY102" si="619">SUM(BS102:BX102)</f>
        <v>75</v>
      </c>
      <c r="BZ102" s="928">
        <f t="shared" ref="BZ102" si="620">IFERROR((BS102*Q102)/BY102," ")</f>
        <v>1.6</v>
      </c>
      <c r="CA102" s="929">
        <f t="shared" ref="CA102" si="621">IFERROR((BT102*Q102)/BY102," ")</f>
        <v>0.2</v>
      </c>
      <c r="CB102" s="929">
        <f t="shared" ref="CB102" si="622">IFERROR((BU102*Q102)/BY102," ")</f>
        <v>0</v>
      </c>
      <c r="CC102" s="929">
        <f t="shared" ref="CC102" si="623">IFERROR((BV102*Q102)/BY102," ")</f>
        <v>0</v>
      </c>
      <c r="CD102" s="929">
        <f t="shared" ref="CD102" si="624">IFERROR((BW102*Q102)/BY102," ")</f>
        <v>1.2</v>
      </c>
      <c r="CE102" s="949">
        <f t="shared" ref="CE102" si="625">IFERROR((BX102*Q102)/BY102," ")</f>
        <v>0</v>
      </c>
      <c r="CF102" s="963">
        <f t="shared" ref="CF102" si="626">IFERROR((SUM(BZ102:CE102))," ")</f>
        <v>3</v>
      </c>
      <c r="CG102" s="957">
        <f t="shared" ref="CG102" si="627">SUM(BS102:BT102,BX102)</f>
        <v>45</v>
      </c>
      <c r="CH102" s="209">
        <f t="shared" ref="CH102" si="628">SUM(BT102:BU102)</f>
        <v>5</v>
      </c>
      <c r="CI102" s="930">
        <f t="shared" ref="CI102" si="629">SUM(BZ102:CA102,CE102)</f>
        <v>1.8</v>
      </c>
      <c r="CJ102" s="998">
        <f t="shared" ref="CJ102" si="630">SUM(CA102:CB102)</f>
        <v>0.2</v>
      </c>
      <c r="CK102" s="1000">
        <f>Matryca!Q102</f>
        <v>1</v>
      </c>
      <c r="CL102" s="1001">
        <f>Matryca!R102</f>
        <v>3</v>
      </c>
      <c r="CM102" s="1002">
        <f>Matryca!S102</f>
        <v>2</v>
      </c>
    </row>
    <row r="103" spans="1:91" s="44" customFormat="1" ht="30" customHeight="1" thickBot="1" x14ac:dyDescent="0.3">
      <c r="A103" s="45">
        <v>81</v>
      </c>
      <c r="B103" s="47"/>
      <c r="C103" s="46" t="s">
        <v>107</v>
      </c>
      <c r="D103" s="994" t="s">
        <v>499</v>
      </c>
      <c r="E103" s="47">
        <v>4</v>
      </c>
      <c r="F103" s="46" t="s">
        <v>470</v>
      </c>
      <c r="G103" s="46" t="s">
        <v>60</v>
      </c>
      <c r="H103" s="48"/>
      <c r="I103" s="118" t="s">
        <v>480</v>
      </c>
      <c r="J103" s="118"/>
      <c r="K103" s="118"/>
      <c r="L103" s="122" t="s">
        <v>417</v>
      </c>
      <c r="M103" s="49">
        <f t="shared" ref="M103" si="631">Y103+AV103</f>
        <v>100</v>
      </c>
      <c r="N103" s="50">
        <f t="shared" ref="N103" si="632">AS103+BP103</f>
        <v>30</v>
      </c>
      <c r="O103" s="54">
        <f t="shared" ref="O103" si="633">Z103+AW103</f>
        <v>70</v>
      </c>
      <c r="P103" s="424">
        <f t="shared" ref="P103" si="634">AA103+AX103</f>
        <v>70</v>
      </c>
      <c r="Q103" s="52">
        <f t="shared" ref="Q103" si="635">X103+AU103</f>
        <v>4</v>
      </c>
      <c r="R103" s="76">
        <f t="shared" ref="R103" si="636">IFERROR((AL103+BI103)*Q103/O103," ")</f>
        <v>0</v>
      </c>
      <c r="S103" s="76">
        <f t="shared" ref="S103" si="637">IFERROR(IF(L103="tak",(SUM(AE103:AL103,AQ103,BB103:BI103,BN103))*Q103/O103,0),0)</f>
        <v>3.4285714285714284</v>
      </c>
      <c r="T103" s="39">
        <f t="shared" ref="T103" si="638">IFERROR((AC103+AO103+AZ103+BL103)*Q103/O103," ")</f>
        <v>0.5714285714285714</v>
      </c>
      <c r="U103" s="187">
        <f t="shared" ref="U103" si="639">IFERROR((SUM(AB103,AD103:AN103,AY103,BA103:BK103,AP103:AQ103,BM103:BN103)*Q103/M103)," ")</f>
        <v>2.8</v>
      </c>
      <c r="V103" s="1093" t="s">
        <v>56</v>
      </c>
      <c r="W103" s="55"/>
      <c r="X103" s="155"/>
      <c r="Y103" s="53">
        <f t="shared" ref="Y103" si="640">AS103+Z103</f>
        <v>0</v>
      </c>
      <c r="Z103" s="54">
        <f t="shared" ref="Z103" si="641">AR103+AA103</f>
        <v>0</v>
      </c>
      <c r="AA103" s="419">
        <f t="shared" ref="AA103" si="642">(SUM(AB103:AQ103))-AC103</f>
        <v>0</v>
      </c>
      <c r="AB103" s="260"/>
      <c r="AC103" s="277"/>
      <c r="AD103" s="265"/>
      <c r="AE103" s="265"/>
      <c r="AF103" s="265"/>
      <c r="AG103" s="265"/>
      <c r="AH103" s="265"/>
      <c r="AI103" s="265"/>
      <c r="AJ103" s="265"/>
      <c r="AK103" s="265"/>
      <c r="AL103" s="265"/>
      <c r="AM103" s="265"/>
      <c r="AN103" s="265"/>
      <c r="AO103" s="265"/>
      <c r="AP103" s="265"/>
      <c r="AQ103" s="265"/>
      <c r="AR103" s="278"/>
      <c r="AS103" s="279"/>
      <c r="AT103" s="45" t="s">
        <v>99</v>
      </c>
      <c r="AU103" s="202">
        <v>4</v>
      </c>
      <c r="AV103" s="49">
        <f t="shared" ref="AV103" si="643">BP103+AW103</f>
        <v>100</v>
      </c>
      <c r="AW103" s="54">
        <f t="shared" ref="AW103" si="644">BO103+AX103</f>
        <v>70</v>
      </c>
      <c r="AX103" s="424">
        <f t="shared" ref="AX103" si="645">(SUM(AY103:BN103))-AZ103</f>
        <v>70</v>
      </c>
      <c r="AY103" s="265">
        <v>10</v>
      </c>
      <c r="AZ103" s="277">
        <v>10</v>
      </c>
      <c r="BA103" s="265"/>
      <c r="BB103" s="886">
        <v>30</v>
      </c>
      <c r="BC103" s="46"/>
      <c r="BD103" s="265"/>
      <c r="BE103" s="265"/>
      <c r="BF103" s="265"/>
      <c r="BG103" s="265"/>
      <c r="BH103" s="265">
        <v>30</v>
      </c>
      <c r="BI103" s="265"/>
      <c r="BJ103" s="265"/>
      <c r="BK103" s="265"/>
      <c r="BL103" s="265"/>
      <c r="BM103" s="265"/>
      <c r="BN103" s="265"/>
      <c r="BO103" s="278"/>
      <c r="BP103" s="279">
        <v>30</v>
      </c>
      <c r="BQ103" s="142">
        <f t="shared" ref="BQ103" si="646">IFERROR(M103/Q103," ")</f>
        <v>25</v>
      </c>
      <c r="BR103" s="209" t="str">
        <f t="shared" ref="BR103" si="647">IF(OR(BQ103&gt;30,BQ103&lt;25),"1 ECTS powinien mieścić się przedziale 25-30h","Wartość prawidłowa")</f>
        <v>Wartość prawidłowa</v>
      </c>
      <c r="BS103" s="926">
        <f t="shared" ref="BS103" si="648">SUM(AB103,AD103:AP103,AY103,BA103:BM103)-AC103-AZ103-AO103-BL103</f>
        <v>60</v>
      </c>
      <c r="BT103" s="118">
        <f t="shared" ref="BT103" si="649">AC103+AZ103</f>
        <v>10</v>
      </c>
      <c r="BU103" s="118">
        <f t="shared" ref="BU103" si="650">AO103+BL103</f>
        <v>0</v>
      </c>
      <c r="BV103" s="118">
        <f t="shared" ref="BV103" si="651">AR103+BO103</f>
        <v>0</v>
      </c>
      <c r="BW103" s="118">
        <f t="shared" ref="BW103" si="652">N103</f>
        <v>30</v>
      </c>
      <c r="BX103" s="209">
        <f t="shared" ref="BX103" si="653">AQ103+BN103</f>
        <v>0</v>
      </c>
      <c r="BY103" s="927">
        <f t="shared" ref="BY103" si="654">SUM(BS103:BX103)</f>
        <v>100</v>
      </c>
      <c r="BZ103" s="928">
        <f t="shared" ref="BZ103" si="655">IFERROR((BS103*Q103)/BY103," ")</f>
        <v>2.4</v>
      </c>
      <c r="CA103" s="929">
        <f t="shared" ref="CA103" si="656">IFERROR((BT103*Q103)/BY103," ")</f>
        <v>0.4</v>
      </c>
      <c r="CB103" s="929">
        <f t="shared" ref="CB103" si="657">IFERROR((BU103*Q103)/BY103," ")</f>
        <v>0</v>
      </c>
      <c r="CC103" s="929">
        <f t="shared" ref="CC103" si="658">IFERROR((BV103*Q103)/BY103," ")</f>
        <v>0</v>
      </c>
      <c r="CD103" s="929">
        <f t="shared" ref="CD103" si="659">IFERROR((BW103*Q103)/BY103," ")</f>
        <v>1.2</v>
      </c>
      <c r="CE103" s="949">
        <f t="shared" ref="CE103" si="660">IFERROR((BX103*Q103)/BY103," ")</f>
        <v>0</v>
      </c>
      <c r="CF103" s="963">
        <f t="shared" ref="CF103" si="661">IFERROR((SUM(BZ103:CE103))," ")</f>
        <v>4</v>
      </c>
      <c r="CG103" s="957">
        <f t="shared" ref="CG103" si="662">SUM(BS103:BT103,BX103)</f>
        <v>70</v>
      </c>
      <c r="CH103" s="209">
        <f t="shared" ref="CH103" si="663">SUM(BT103:BU103)</f>
        <v>10</v>
      </c>
      <c r="CI103" s="930">
        <f t="shared" ref="CI103" si="664">SUM(BZ103:CA103,CE103)</f>
        <v>2.8</v>
      </c>
      <c r="CJ103" s="998">
        <f t="shared" ref="CJ103" si="665">SUM(CA103:CB103)</f>
        <v>0.4</v>
      </c>
      <c r="CK103" s="1000">
        <f>Matryca!Q103</f>
        <v>2</v>
      </c>
      <c r="CL103" s="1001">
        <f>Matryca!R103</f>
        <v>8</v>
      </c>
      <c r="CM103" s="1002">
        <f>Matryca!S103</f>
        <v>1</v>
      </c>
    </row>
    <row r="104" spans="1:91" s="44" customFormat="1" ht="32.25" customHeight="1" thickBot="1" x14ac:dyDescent="0.3">
      <c r="A104" s="325"/>
      <c r="B104" s="326"/>
      <c r="C104" s="327"/>
      <c r="D104" s="327"/>
      <c r="E104" s="326"/>
      <c r="F104" s="327"/>
      <c r="G104" s="327"/>
      <c r="H104" s="328"/>
      <c r="I104" s="329" t="s">
        <v>468</v>
      </c>
      <c r="J104" s="330">
        <f>COUNTIF(J81:J103,"tak")</f>
        <v>0</v>
      </c>
      <c r="K104" s="330">
        <f>COUNTIF(K81:K103,"tak")</f>
        <v>0</v>
      </c>
      <c r="L104" s="330">
        <f>COUNTIF(L81:L103,"tak")</f>
        <v>19</v>
      </c>
      <c r="M104" s="331">
        <f t="shared" ref="M104:AR104" si="666">SUM(M81:M103)</f>
        <v>2095</v>
      </c>
      <c r="N104" s="331">
        <f t="shared" si="666"/>
        <v>715</v>
      </c>
      <c r="O104" s="331">
        <f t="shared" si="666"/>
        <v>1380</v>
      </c>
      <c r="P104" s="331">
        <f t="shared" si="666"/>
        <v>1380</v>
      </c>
      <c r="Q104" s="331">
        <f t="shared" si="666"/>
        <v>83</v>
      </c>
      <c r="R104" s="331">
        <f t="shared" si="666"/>
        <v>0</v>
      </c>
      <c r="S104" s="331">
        <f t="shared" si="666"/>
        <v>58.533333333333331</v>
      </c>
      <c r="T104" s="331">
        <f t="shared" si="666"/>
        <v>10.895238095238096</v>
      </c>
      <c r="U104" s="331">
        <f t="shared" si="666"/>
        <v>54.399999999999984</v>
      </c>
      <c r="V104" s="331">
        <f t="shared" si="666"/>
        <v>0</v>
      </c>
      <c r="W104" s="331">
        <f t="shared" si="666"/>
        <v>0</v>
      </c>
      <c r="X104" s="331">
        <f t="shared" si="666"/>
        <v>42</v>
      </c>
      <c r="Y104" s="331">
        <f t="shared" si="666"/>
        <v>1060</v>
      </c>
      <c r="Z104" s="331">
        <f t="shared" si="666"/>
        <v>725</v>
      </c>
      <c r="AA104" s="331">
        <f t="shared" si="666"/>
        <v>725</v>
      </c>
      <c r="AB104" s="331">
        <f t="shared" si="666"/>
        <v>90</v>
      </c>
      <c r="AC104" s="331">
        <f t="shared" si="666"/>
        <v>90</v>
      </c>
      <c r="AD104" s="331">
        <f t="shared" si="666"/>
        <v>40</v>
      </c>
      <c r="AE104" s="331">
        <f t="shared" si="666"/>
        <v>280</v>
      </c>
      <c r="AF104" s="331">
        <f t="shared" si="666"/>
        <v>45</v>
      </c>
      <c r="AG104" s="331">
        <f t="shared" si="666"/>
        <v>0</v>
      </c>
      <c r="AH104" s="331">
        <f t="shared" si="666"/>
        <v>0</v>
      </c>
      <c r="AI104" s="331">
        <f t="shared" si="666"/>
        <v>0</v>
      </c>
      <c r="AJ104" s="331">
        <f t="shared" si="666"/>
        <v>0</v>
      </c>
      <c r="AK104" s="331">
        <f t="shared" si="666"/>
        <v>110</v>
      </c>
      <c r="AL104" s="331">
        <f t="shared" si="666"/>
        <v>0</v>
      </c>
      <c r="AM104" s="331">
        <f t="shared" si="666"/>
        <v>0</v>
      </c>
      <c r="AN104" s="331">
        <f t="shared" si="666"/>
        <v>0</v>
      </c>
      <c r="AO104" s="331">
        <f t="shared" si="666"/>
        <v>0</v>
      </c>
      <c r="AP104" s="343">
        <f t="shared" si="666"/>
        <v>0</v>
      </c>
      <c r="AQ104" s="331">
        <f t="shared" si="666"/>
        <v>160</v>
      </c>
      <c r="AR104" s="331">
        <f t="shared" si="666"/>
        <v>0</v>
      </c>
      <c r="AS104" s="331">
        <f t="shared" ref="AS104:BP104" si="667">SUM(AS81:AS103)</f>
        <v>335</v>
      </c>
      <c r="AT104" s="331">
        <f t="shared" si="667"/>
        <v>0</v>
      </c>
      <c r="AU104" s="331">
        <f t="shared" si="667"/>
        <v>41</v>
      </c>
      <c r="AV104" s="331">
        <f t="shared" si="667"/>
        <v>1035</v>
      </c>
      <c r="AW104" s="331">
        <f t="shared" si="667"/>
        <v>655</v>
      </c>
      <c r="AX104" s="331">
        <f t="shared" si="667"/>
        <v>655</v>
      </c>
      <c r="AY104" s="331">
        <f t="shared" si="667"/>
        <v>85</v>
      </c>
      <c r="AZ104" s="331">
        <f t="shared" si="667"/>
        <v>85</v>
      </c>
      <c r="BA104" s="331">
        <f t="shared" si="667"/>
        <v>30</v>
      </c>
      <c r="BB104" s="331">
        <f t="shared" si="667"/>
        <v>275</v>
      </c>
      <c r="BC104" s="1136">
        <f t="shared" si="667"/>
        <v>0</v>
      </c>
      <c r="BD104" s="331">
        <f t="shared" si="667"/>
        <v>0</v>
      </c>
      <c r="BE104" s="331">
        <f t="shared" si="667"/>
        <v>0</v>
      </c>
      <c r="BF104" s="331">
        <f t="shared" si="667"/>
        <v>0</v>
      </c>
      <c r="BG104" s="331">
        <f t="shared" si="667"/>
        <v>0</v>
      </c>
      <c r="BH104" s="331">
        <f t="shared" si="667"/>
        <v>105</v>
      </c>
      <c r="BI104" s="331">
        <f t="shared" si="667"/>
        <v>0</v>
      </c>
      <c r="BJ104" s="331">
        <f t="shared" si="667"/>
        <v>0</v>
      </c>
      <c r="BK104" s="331">
        <f t="shared" si="667"/>
        <v>0</v>
      </c>
      <c r="BL104" s="331">
        <f t="shared" si="667"/>
        <v>0</v>
      </c>
      <c r="BM104" s="331">
        <f t="shared" si="667"/>
        <v>0</v>
      </c>
      <c r="BN104" s="331">
        <f t="shared" si="667"/>
        <v>160</v>
      </c>
      <c r="BO104" s="331">
        <f t="shared" si="667"/>
        <v>0</v>
      </c>
      <c r="BP104" s="343">
        <f t="shared" si="667"/>
        <v>380</v>
      </c>
      <c r="BQ104" s="332"/>
      <c r="BR104" s="333"/>
      <c r="BS104" s="343">
        <f t="shared" ref="BS104:CJ104" si="668">SUM(BS81:BS103)</f>
        <v>885</v>
      </c>
      <c r="BT104" s="343">
        <f t="shared" si="668"/>
        <v>175</v>
      </c>
      <c r="BU104" s="343">
        <f t="shared" si="668"/>
        <v>0</v>
      </c>
      <c r="BV104" s="343">
        <f t="shared" si="668"/>
        <v>0</v>
      </c>
      <c r="BW104" s="343">
        <f t="shared" si="668"/>
        <v>715</v>
      </c>
      <c r="BX104" s="343">
        <f t="shared" si="668"/>
        <v>320</v>
      </c>
      <c r="BY104" s="343">
        <f t="shared" si="668"/>
        <v>2095</v>
      </c>
      <c r="BZ104" s="934">
        <f t="shared" si="668"/>
        <v>35.399999999999991</v>
      </c>
      <c r="CA104" s="934">
        <f t="shared" si="668"/>
        <v>7.0000000000000018</v>
      </c>
      <c r="CB104" s="934">
        <f t="shared" si="668"/>
        <v>0</v>
      </c>
      <c r="CC104" s="934">
        <f t="shared" si="668"/>
        <v>0</v>
      </c>
      <c r="CD104" s="934">
        <f t="shared" si="668"/>
        <v>28.6</v>
      </c>
      <c r="CE104" s="953">
        <f t="shared" si="668"/>
        <v>12</v>
      </c>
      <c r="CF104" s="967">
        <f t="shared" si="668"/>
        <v>83</v>
      </c>
      <c r="CG104" s="959">
        <f t="shared" si="668"/>
        <v>1380</v>
      </c>
      <c r="CH104" s="1006">
        <f t="shared" si="668"/>
        <v>175</v>
      </c>
      <c r="CI104" s="1011">
        <f t="shared" si="668"/>
        <v>54.399999999999984</v>
      </c>
      <c r="CJ104" s="1012">
        <f t="shared" si="668"/>
        <v>7.0000000000000018</v>
      </c>
      <c r="CK104" s="1009">
        <f>Matryca!Q104</f>
        <v>40</v>
      </c>
      <c r="CL104" s="1006">
        <f>Matryca!R104</f>
        <v>135</v>
      </c>
      <c r="CM104" s="1010">
        <f>Matryca!S104</f>
        <v>42</v>
      </c>
    </row>
    <row r="105" spans="1:91" s="44" customFormat="1" ht="30" customHeight="1" x14ac:dyDescent="0.25">
      <c r="A105" s="45">
        <v>82</v>
      </c>
      <c r="B105" s="47"/>
      <c r="C105" s="46" t="s">
        <v>107</v>
      </c>
      <c r="D105" s="46"/>
      <c r="E105" s="47">
        <v>5</v>
      </c>
      <c r="F105" s="1484" t="s">
        <v>973</v>
      </c>
      <c r="G105" s="46" t="s">
        <v>59</v>
      </c>
      <c r="H105" s="118"/>
      <c r="I105" s="1088" t="s">
        <v>484</v>
      </c>
      <c r="J105" s="118"/>
      <c r="K105" s="118"/>
      <c r="L105" s="1089" t="s">
        <v>417</v>
      </c>
      <c r="M105" s="49">
        <f t="shared" ref="M105:M121" si="669">Y105+AV105</f>
        <v>150</v>
      </c>
      <c r="N105" s="50">
        <f t="shared" ref="N105:N121" si="670">AS105+BP105</f>
        <v>80</v>
      </c>
      <c r="O105" s="54">
        <f t="shared" ref="O105:O121" si="671">Z105+AW105</f>
        <v>70</v>
      </c>
      <c r="P105" s="424">
        <f t="shared" ref="P105:P121" si="672">AA105+AX105</f>
        <v>70</v>
      </c>
      <c r="Q105" s="52">
        <f t="shared" ref="Q105:Q113" si="673">X105+AU105</f>
        <v>6</v>
      </c>
      <c r="R105" s="76">
        <f t="shared" ref="R105:R121" si="674">IFERROR((AL105+BI105)*Q105/O105," ")</f>
        <v>0</v>
      </c>
      <c r="S105" s="38">
        <f t="shared" ref="S105:S121" si="675">IFERROR(IF(L105="tak",(SUM(AE105:AL105,AQ105,BB105:BI105,BN105))*Q105/O105,0),0)</f>
        <v>5.1428571428571432</v>
      </c>
      <c r="T105" s="39">
        <f t="shared" ref="T105:T121" si="676">IFERROR((AC105+AO105+AZ105+BL105)*Q105/O105," ")</f>
        <v>0.8571428571428571</v>
      </c>
      <c r="U105" s="187">
        <f t="shared" ref="U105:U121" si="677">IFERROR((SUM(AB105,AD105:AN105,AY105,BA105:BK105,AP105:AQ105,BM105:BN105)*Q105/M105)," ")</f>
        <v>2.8</v>
      </c>
      <c r="V105" s="201" t="s">
        <v>99</v>
      </c>
      <c r="W105" s="55" t="s">
        <v>99</v>
      </c>
      <c r="X105" s="155">
        <v>6</v>
      </c>
      <c r="Y105" s="53">
        <f t="shared" ref="Y105:Y121" si="678">AS105+Z105</f>
        <v>150</v>
      </c>
      <c r="Z105" s="54">
        <f t="shared" ref="Z105:Z121" si="679">AR105+AA105</f>
        <v>70</v>
      </c>
      <c r="AA105" s="419">
        <f t="shared" ref="AA105:AA121" si="680">(SUM(AB105:AQ105))-AC105</f>
        <v>70</v>
      </c>
      <c r="AB105" s="265">
        <v>10</v>
      </c>
      <c r="AC105" s="286">
        <v>10</v>
      </c>
      <c r="AD105" s="265"/>
      <c r="AE105" s="265">
        <v>60</v>
      </c>
      <c r="AF105" s="265"/>
      <c r="AG105" s="265"/>
      <c r="AH105" s="265"/>
      <c r="AI105" s="265"/>
      <c r="AJ105" s="265"/>
      <c r="AK105" s="265"/>
      <c r="AL105" s="265"/>
      <c r="AM105" s="265"/>
      <c r="AN105" s="265"/>
      <c r="AO105" s="265"/>
      <c r="AP105" s="265"/>
      <c r="AQ105" s="265"/>
      <c r="AR105" s="278"/>
      <c r="AS105" s="279">
        <v>80</v>
      </c>
      <c r="AT105" s="45"/>
      <c r="AU105" s="155"/>
      <c r="AV105" s="49">
        <f t="shared" ref="AV105:AV121" si="681">BP105+AW105</f>
        <v>0</v>
      </c>
      <c r="AW105" s="54">
        <f t="shared" ref="AW105:AW121" si="682">BO105+AX105</f>
        <v>0</v>
      </c>
      <c r="AX105" s="424">
        <f t="shared" ref="AX105:AX121" si="683">(SUM(AY105:BN105))-AZ105</f>
        <v>0</v>
      </c>
      <c r="AY105" s="265"/>
      <c r="AZ105" s="286"/>
      <c r="BA105" s="265"/>
      <c r="BB105" s="265"/>
      <c r="BC105" s="265"/>
      <c r="BD105" s="265"/>
      <c r="BE105" s="265"/>
      <c r="BF105" s="265"/>
      <c r="BG105" s="265"/>
      <c r="BH105" s="265"/>
      <c r="BI105" s="265"/>
      <c r="BJ105" s="265"/>
      <c r="BK105" s="265"/>
      <c r="BL105" s="265"/>
      <c r="BM105" s="265"/>
      <c r="BN105" s="265"/>
      <c r="BO105" s="278"/>
      <c r="BP105" s="309"/>
      <c r="BQ105" s="142">
        <f t="shared" ref="BQ105:BQ121" si="684">IFERROR(M105/Q105," ")</f>
        <v>25</v>
      </c>
      <c r="BR105" s="209" t="str">
        <f t="shared" ref="BR105:BR121" si="685">IF(OR(BQ105&gt;30,BQ105&lt;25),"1 ECTS powinien mieścić się przedziale 25-30h","Wartość prawidłowa")</f>
        <v>Wartość prawidłowa</v>
      </c>
      <c r="BS105" s="926">
        <f t="shared" si="417"/>
        <v>60</v>
      </c>
      <c r="BT105" s="118">
        <f t="shared" si="418"/>
        <v>10</v>
      </c>
      <c r="BU105" s="118">
        <f t="shared" si="419"/>
        <v>0</v>
      </c>
      <c r="BV105" s="118">
        <f t="shared" si="420"/>
        <v>0</v>
      </c>
      <c r="BW105" s="118">
        <f t="shared" si="421"/>
        <v>80</v>
      </c>
      <c r="BX105" s="209">
        <f t="shared" si="422"/>
        <v>0</v>
      </c>
      <c r="BY105" s="927">
        <f t="shared" si="423"/>
        <v>150</v>
      </c>
      <c r="BZ105" s="928">
        <f t="shared" si="424"/>
        <v>2.4</v>
      </c>
      <c r="CA105" s="929">
        <f t="shared" si="425"/>
        <v>0.4</v>
      </c>
      <c r="CB105" s="929">
        <f t="shared" si="426"/>
        <v>0</v>
      </c>
      <c r="CC105" s="929">
        <f t="shared" si="427"/>
        <v>0</v>
      </c>
      <c r="CD105" s="929">
        <f t="shared" si="428"/>
        <v>3.2</v>
      </c>
      <c r="CE105" s="949">
        <f t="shared" si="429"/>
        <v>0</v>
      </c>
      <c r="CF105" s="963">
        <f t="shared" si="430"/>
        <v>6</v>
      </c>
      <c r="CG105" s="957">
        <f t="shared" ref="CG105:CG121" si="686">SUM(BS105:BT105,BX105)</f>
        <v>70</v>
      </c>
      <c r="CH105" s="209">
        <f t="shared" ref="CH105:CH121" si="687">SUM(BT105:BU105)</f>
        <v>10</v>
      </c>
      <c r="CI105" s="930">
        <f t="shared" ref="CI105:CI121" si="688">SUM(BZ105:CA105,CE105)</f>
        <v>2.8</v>
      </c>
      <c r="CJ105" s="998">
        <f t="shared" ref="CJ105:CJ121" si="689">SUM(CA105:CB105)</f>
        <v>0.4</v>
      </c>
      <c r="CK105" s="1000">
        <f>Matryca!Q105</f>
        <v>2</v>
      </c>
      <c r="CL105" s="1001">
        <f>Matryca!R105</f>
        <v>5</v>
      </c>
      <c r="CM105" s="1002">
        <f>Matryca!S105</f>
        <v>2</v>
      </c>
    </row>
    <row r="106" spans="1:91" s="44" customFormat="1" ht="99.75" customHeight="1" x14ac:dyDescent="0.25">
      <c r="A106" s="45">
        <v>83</v>
      </c>
      <c r="B106" s="47"/>
      <c r="C106" s="61" t="s">
        <v>107</v>
      </c>
      <c r="D106" s="61"/>
      <c r="E106" s="62">
        <v>5</v>
      </c>
      <c r="F106" s="61" t="s">
        <v>973</v>
      </c>
      <c r="G106" s="61" t="s">
        <v>60</v>
      </c>
      <c r="H106" s="63"/>
      <c r="I106" s="1107" t="s">
        <v>959</v>
      </c>
      <c r="J106" s="121"/>
      <c r="K106" s="121"/>
      <c r="L106" s="1089" t="s">
        <v>417</v>
      </c>
      <c r="M106" s="49">
        <f t="shared" si="669"/>
        <v>100</v>
      </c>
      <c r="N106" s="50">
        <f t="shared" si="670"/>
        <v>40</v>
      </c>
      <c r="O106" s="54">
        <f t="shared" si="671"/>
        <v>60</v>
      </c>
      <c r="P106" s="424">
        <f t="shared" si="672"/>
        <v>60</v>
      </c>
      <c r="Q106" s="52">
        <f t="shared" si="673"/>
        <v>4</v>
      </c>
      <c r="R106" s="76">
        <f t="shared" si="674"/>
        <v>0</v>
      </c>
      <c r="S106" s="38">
        <f t="shared" si="675"/>
        <v>3.3333333333333335</v>
      </c>
      <c r="T106" s="39">
        <f t="shared" si="676"/>
        <v>0.66666666666666663</v>
      </c>
      <c r="U106" s="187">
        <f t="shared" si="677"/>
        <v>2.4</v>
      </c>
      <c r="V106" s="201" t="s">
        <v>99</v>
      </c>
      <c r="W106" s="55"/>
      <c r="X106" s="155"/>
      <c r="Y106" s="53">
        <f t="shared" si="678"/>
        <v>0</v>
      </c>
      <c r="Z106" s="54">
        <f t="shared" si="679"/>
        <v>0</v>
      </c>
      <c r="AA106" s="419">
        <f t="shared" si="680"/>
        <v>0</v>
      </c>
      <c r="AB106" s="265"/>
      <c r="AC106" s="286"/>
      <c r="AD106" s="265"/>
      <c r="AE106" s="265"/>
      <c r="AF106" s="265"/>
      <c r="AG106" s="265"/>
      <c r="AH106" s="265"/>
      <c r="AI106" s="265"/>
      <c r="AJ106" s="265"/>
      <c r="AK106" s="265"/>
      <c r="AL106" s="265"/>
      <c r="AM106" s="265"/>
      <c r="AN106" s="265"/>
      <c r="AO106" s="265"/>
      <c r="AP106" s="265"/>
      <c r="AQ106" s="265"/>
      <c r="AR106" s="278"/>
      <c r="AS106" s="279"/>
      <c r="AT106" s="45" t="s">
        <v>99</v>
      </c>
      <c r="AU106" s="155">
        <v>4</v>
      </c>
      <c r="AV106" s="49">
        <f t="shared" si="681"/>
        <v>100</v>
      </c>
      <c r="AW106" s="54">
        <f t="shared" si="682"/>
        <v>60</v>
      </c>
      <c r="AX106" s="424">
        <f t="shared" si="683"/>
        <v>60</v>
      </c>
      <c r="AY106" s="265">
        <v>10</v>
      </c>
      <c r="AZ106" s="286">
        <v>10</v>
      </c>
      <c r="BA106" s="265"/>
      <c r="BB106" s="886">
        <v>50</v>
      </c>
      <c r="BD106" s="265"/>
      <c r="BE106" s="265"/>
      <c r="BF106" s="265"/>
      <c r="BG106" s="265"/>
      <c r="BH106" s="265"/>
      <c r="BI106" s="265"/>
      <c r="BJ106" s="265"/>
      <c r="BK106" s="265"/>
      <c r="BL106" s="265"/>
      <c r="BM106" s="265"/>
      <c r="BN106" s="265"/>
      <c r="BO106" s="278"/>
      <c r="BP106" s="309">
        <v>40</v>
      </c>
      <c r="BQ106" s="142">
        <f t="shared" si="684"/>
        <v>25</v>
      </c>
      <c r="BR106" s="209" t="str">
        <f t="shared" si="685"/>
        <v>Wartość prawidłowa</v>
      </c>
      <c r="BS106" s="926">
        <f t="shared" si="417"/>
        <v>50</v>
      </c>
      <c r="BT106" s="118">
        <f t="shared" si="418"/>
        <v>10</v>
      </c>
      <c r="BU106" s="118">
        <f t="shared" si="419"/>
        <v>0</v>
      </c>
      <c r="BV106" s="118">
        <f t="shared" si="420"/>
        <v>0</v>
      </c>
      <c r="BW106" s="118">
        <f t="shared" si="421"/>
        <v>40</v>
      </c>
      <c r="BX106" s="209">
        <f t="shared" si="422"/>
        <v>0</v>
      </c>
      <c r="BY106" s="927">
        <f t="shared" si="423"/>
        <v>100</v>
      </c>
      <c r="BZ106" s="928">
        <f t="shared" si="424"/>
        <v>2</v>
      </c>
      <c r="CA106" s="929">
        <f t="shared" si="425"/>
        <v>0.4</v>
      </c>
      <c r="CB106" s="929">
        <f t="shared" si="426"/>
        <v>0</v>
      </c>
      <c r="CC106" s="929">
        <f t="shared" si="427"/>
        <v>0</v>
      </c>
      <c r="CD106" s="929">
        <f t="shared" si="428"/>
        <v>1.6</v>
      </c>
      <c r="CE106" s="949">
        <f t="shared" si="429"/>
        <v>0</v>
      </c>
      <c r="CF106" s="963">
        <f t="shared" si="430"/>
        <v>4</v>
      </c>
      <c r="CG106" s="957">
        <f t="shared" si="686"/>
        <v>60</v>
      </c>
      <c r="CH106" s="209">
        <f t="shared" si="687"/>
        <v>10</v>
      </c>
      <c r="CI106" s="930">
        <f t="shared" si="688"/>
        <v>2.4</v>
      </c>
      <c r="CJ106" s="998">
        <f t="shared" si="689"/>
        <v>0.4</v>
      </c>
      <c r="CK106" s="1000">
        <f>Matryca!Q106</f>
        <v>0</v>
      </c>
      <c r="CL106" s="1001">
        <f>Matryca!R106</f>
        <v>0</v>
      </c>
      <c r="CM106" s="1002">
        <f>Matryca!S106</f>
        <v>0</v>
      </c>
    </row>
    <row r="107" spans="1:91" s="44" customFormat="1" ht="30" customHeight="1" x14ac:dyDescent="0.25">
      <c r="A107" s="45">
        <v>84</v>
      </c>
      <c r="B107" s="47"/>
      <c r="C107" s="46" t="s">
        <v>107</v>
      </c>
      <c r="D107" s="46"/>
      <c r="E107" s="47">
        <v>5</v>
      </c>
      <c r="F107" s="46" t="s">
        <v>973</v>
      </c>
      <c r="G107" s="46" t="s">
        <v>59</v>
      </c>
      <c r="H107" s="48"/>
      <c r="I107" s="1088" t="s">
        <v>488</v>
      </c>
      <c r="J107" s="118"/>
      <c r="K107" s="118"/>
      <c r="L107" s="1089" t="s">
        <v>417</v>
      </c>
      <c r="M107" s="49">
        <f t="shared" si="669"/>
        <v>125</v>
      </c>
      <c r="N107" s="50">
        <f t="shared" si="670"/>
        <v>55</v>
      </c>
      <c r="O107" s="54">
        <f t="shared" si="671"/>
        <v>70</v>
      </c>
      <c r="P107" s="424">
        <f t="shared" si="672"/>
        <v>70</v>
      </c>
      <c r="Q107" s="52">
        <f t="shared" si="673"/>
        <v>5</v>
      </c>
      <c r="R107" s="76">
        <f t="shared" si="674"/>
        <v>0</v>
      </c>
      <c r="S107" s="38">
        <f t="shared" si="675"/>
        <v>4.2857142857142856</v>
      </c>
      <c r="T107" s="39">
        <f t="shared" si="676"/>
        <v>0.7142857142857143</v>
      </c>
      <c r="U107" s="187">
        <f t="shared" si="677"/>
        <v>2.8</v>
      </c>
      <c r="V107" s="201" t="s">
        <v>99</v>
      </c>
      <c r="W107" s="55" t="s">
        <v>99</v>
      </c>
      <c r="X107" s="155">
        <v>5</v>
      </c>
      <c r="Y107" s="53">
        <f t="shared" si="678"/>
        <v>125</v>
      </c>
      <c r="Z107" s="54">
        <f t="shared" si="679"/>
        <v>70</v>
      </c>
      <c r="AA107" s="419">
        <f t="shared" si="680"/>
        <v>70</v>
      </c>
      <c r="AB107" s="265">
        <v>10</v>
      </c>
      <c r="AC107" s="286">
        <v>10</v>
      </c>
      <c r="AD107" s="265"/>
      <c r="AE107" s="886">
        <v>60</v>
      </c>
      <c r="AF107" s="46"/>
      <c r="AG107" s="265"/>
      <c r="AH107" s="265"/>
      <c r="AI107" s="265"/>
      <c r="AJ107" s="265"/>
      <c r="AK107" s="265"/>
      <c r="AL107" s="265"/>
      <c r="AM107" s="265"/>
      <c r="AN107" s="265"/>
      <c r="AO107" s="265"/>
      <c r="AP107" s="265"/>
      <c r="AQ107" s="265"/>
      <c r="AR107" s="278"/>
      <c r="AS107" s="279">
        <v>55</v>
      </c>
      <c r="AT107" s="45"/>
      <c r="AU107" s="155"/>
      <c r="AV107" s="49">
        <f t="shared" si="681"/>
        <v>0</v>
      </c>
      <c r="AW107" s="54">
        <f t="shared" si="682"/>
        <v>0</v>
      </c>
      <c r="AX107" s="424">
        <f t="shared" si="683"/>
        <v>0</v>
      </c>
      <c r="AY107" s="265"/>
      <c r="AZ107" s="286"/>
      <c r="BA107" s="265"/>
      <c r="BB107" s="265"/>
      <c r="BC107" s="265"/>
      <c r="BD107" s="265"/>
      <c r="BE107" s="265"/>
      <c r="BF107" s="265"/>
      <c r="BG107" s="265"/>
      <c r="BH107" s="265"/>
      <c r="BI107" s="265"/>
      <c r="BJ107" s="265"/>
      <c r="BK107" s="265"/>
      <c r="BL107" s="265"/>
      <c r="BM107" s="265"/>
      <c r="BN107" s="265"/>
      <c r="BO107" s="278"/>
      <c r="BP107" s="309"/>
      <c r="BQ107" s="142">
        <f t="shared" si="684"/>
        <v>25</v>
      </c>
      <c r="BR107" s="209" t="str">
        <f t="shared" si="685"/>
        <v>Wartość prawidłowa</v>
      </c>
      <c r="BS107" s="926">
        <f t="shared" si="417"/>
        <v>60</v>
      </c>
      <c r="BT107" s="118">
        <f t="shared" si="418"/>
        <v>10</v>
      </c>
      <c r="BU107" s="118">
        <f t="shared" si="419"/>
        <v>0</v>
      </c>
      <c r="BV107" s="118">
        <f t="shared" si="420"/>
        <v>0</v>
      </c>
      <c r="BW107" s="118">
        <f t="shared" si="421"/>
        <v>55</v>
      </c>
      <c r="BX107" s="209">
        <f t="shared" si="422"/>
        <v>0</v>
      </c>
      <c r="BY107" s="927">
        <f t="shared" si="423"/>
        <v>125</v>
      </c>
      <c r="BZ107" s="928">
        <f t="shared" si="424"/>
        <v>2.4</v>
      </c>
      <c r="CA107" s="929">
        <f t="shared" si="425"/>
        <v>0.4</v>
      </c>
      <c r="CB107" s="929">
        <f t="shared" si="426"/>
        <v>0</v>
      </c>
      <c r="CC107" s="929">
        <f t="shared" si="427"/>
        <v>0</v>
      </c>
      <c r="CD107" s="929">
        <f t="shared" si="428"/>
        <v>2.2000000000000002</v>
      </c>
      <c r="CE107" s="949">
        <f t="shared" si="429"/>
        <v>0</v>
      </c>
      <c r="CF107" s="963">
        <f t="shared" si="430"/>
        <v>5</v>
      </c>
      <c r="CG107" s="957">
        <f t="shared" si="686"/>
        <v>70</v>
      </c>
      <c r="CH107" s="209">
        <f t="shared" si="687"/>
        <v>10</v>
      </c>
      <c r="CI107" s="930">
        <f t="shared" si="688"/>
        <v>2.8</v>
      </c>
      <c r="CJ107" s="998">
        <f t="shared" si="689"/>
        <v>0.4</v>
      </c>
      <c r="CK107" s="1000">
        <f>Matryca!Q107</f>
        <v>4</v>
      </c>
      <c r="CL107" s="1001">
        <f>Matryca!R107</f>
        <v>6</v>
      </c>
      <c r="CM107" s="1002">
        <f>Matryca!S107</f>
        <v>3</v>
      </c>
    </row>
    <row r="108" spans="1:91" s="44" customFormat="1" ht="32.25" customHeight="1" x14ac:dyDescent="0.25">
      <c r="A108" s="45">
        <v>85</v>
      </c>
      <c r="B108" s="47"/>
      <c r="C108" s="46" t="s">
        <v>107</v>
      </c>
      <c r="D108" s="46"/>
      <c r="E108" s="47">
        <v>5</v>
      </c>
      <c r="F108" s="46" t="s">
        <v>973</v>
      </c>
      <c r="G108" s="46" t="s">
        <v>95</v>
      </c>
      <c r="H108" s="118"/>
      <c r="I108" s="118" t="s">
        <v>743</v>
      </c>
      <c r="J108" s="118"/>
      <c r="K108" s="118"/>
      <c r="L108" s="1089" t="s">
        <v>418</v>
      </c>
      <c r="M108" s="49">
        <f t="shared" ref="M108" si="690">Y108+AV108</f>
        <v>150</v>
      </c>
      <c r="N108" s="50">
        <f t="shared" ref="N108" si="691">AS108+BP108</f>
        <v>110</v>
      </c>
      <c r="O108" s="54">
        <f t="shared" ref="O108" si="692">Z108+AW108</f>
        <v>40</v>
      </c>
      <c r="P108" s="424">
        <f t="shared" ref="P108" si="693">AA108+AX108</f>
        <v>40</v>
      </c>
      <c r="Q108" s="52">
        <f t="shared" ref="Q108" si="694">X108+AU108</f>
        <v>6</v>
      </c>
      <c r="R108" s="76">
        <f t="shared" ref="R108" si="695">IFERROR((AL108+BI108)*Q108/O108," ")</f>
        <v>0</v>
      </c>
      <c r="S108" s="38">
        <f t="shared" si="675"/>
        <v>0</v>
      </c>
      <c r="T108" s="39">
        <f t="shared" ref="T108" si="696">IFERROR((AC108+AO108+AZ108+BL108)*Q108/O108," ")</f>
        <v>0</v>
      </c>
      <c r="U108" s="187">
        <f t="shared" si="677"/>
        <v>1.6</v>
      </c>
      <c r="V108" s="201" t="s">
        <v>99</v>
      </c>
      <c r="W108" s="55" t="s">
        <v>99</v>
      </c>
      <c r="X108" s="155">
        <v>6</v>
      </c>
      <c r="Y108" s="53">
        <f t="shared" ref="Y108" si="697">AS108+Z108</f>
        <v>150</v>
      </c>
      <c r="Z108" s="54">
        <f t="shared" ref="Z108" si="698">AR108+AA108</f>
        <v>40</v>
      </c>
      <c r="AA108" s="419">
        <f t="shared" ref="AA108" si="699">(SUM(AB108:AQ108))-AC108</f>
        <v>40</v>
      </c>
      <c r="AB108" s="260"/>
      <c r="AC108" s="277"/>
      <c r="AD108" s="265">
        <v>40</v>
      </c>
      <c r="AE108" s="265"/>
      <c r="AF108" s="265"/>
      <c r="AG108" s="265"/>
      <c r="AH108" s="265"/>
      <c r="AI108" s="265"/>
      <c r="AJ108" s="265"/>
      <c r="AK108" s="265"/>
      <c r="AL108" s="265"/>
      <c r="AM108" s="265"/>
      <c r="AN108" s="265"/>
      <c r="AO108" s="265"/>
      <c r="AP108" s="265"/>
      <c r="AQ108" s="265"/>
      <c r="AR108" s="278"/>
      <c r="AS108" s="279">
        <v>110</v>
      </c>
      <c r="AT108" s="45"/>
      <c r="AU108" s="202"/>
      <c r="AV108" s="49">
        <f t="shared" ref="AV108" si="700">BP108+AW108</f>
        <v>0</v>
      </c>
      <c r="AW108" s="54">
        <f t="shared" ref="AW108" si="701">BO108+AX108</f>
        <v>0</v>
      </c>
      <c r="AX108" s="424">
        <f t="shared" ref="AX108" si="702">(SUM(AY108:BN108))-AZ108</f>
        <v>0</v>
      </c>
      <c r="AY108" s="265"/>
      <c r="AZ108" s="277"/>
      <c r="BA108" s="265"/>
      <c r="BB108" s="265"/>
      <c r="BC108" s="265"/>
      <c r="BD108" s="265"/>
      <c r="BE108" s="265"/>
      <c r="BF108" s="265"/>
      <c r="BG108" s="265"/>
      <c r="BH108" s="265"/>
      <c r="BI108" s="265"/>
      <c r="BJ108" s="265"/>
      <c r="BK108" s="265"/>
      <c r="BL108" s="265"/>
      <c r="BM108" s="265"/>
      <c r="BN108" s="265"/>
      <c r="BO108" s="278"/>
      <c r="BP108" s="279"/>
      <c r="BQ108" s="142">
        <f t="shared" ref="BQ108" si="703">IFERROR(M108/Q108," ")</f>
        <v>25</v>
      </c>
      <c r="BR108" s="209" t="str">
        <f t="shared" ref="BR108" si="704">IF(OR(BQ108&gt;30,BQ108&lt;25),"1 ECTS powinien mieścić się przedziale 25-30h","Wartość prawidłowa")</f>
        <v>Wartość prawidłowa</v>
      </c>
      <c r="BS108" s="926">
        <f t="shared" si="417"/>
        <v>40</v>
      </c>
      <c r="BT108" s="118">
        <f t="shared" si="418"/>
        <v>0</v>
      </c>
      <c r="BU108" s="118">
        <f t="shared" si="419"/>
        <v>0</v>
      </c>
      <c r="BV108" s="118">
        <f t="shared" si="420"/>
        <v>0</v>
      </c>
      <c r="BW108" s="118">
        <f t="shared" si="421"/>
        <v>110</v>
      </c>
      <c r="BX108" s="209">
        <f t="shared" si="422"/>
        <v>0</v>
      </c>
      <c r="BY108" s="927">
        <f t="shared" si="423"/>
        <v>150</v>
      </c>
      <c r="BZ108" s="928">
        <f t="shared" si="424"/>
        <v>1.6</v>
      </c>
      <c r="CA108" s="929">
        <f t="shared" si="425"/>
        <v>0</v>
      </c>
      <c r="CB108" s="929">
        <f t="shared" si="426"/>
        <v>0</v>
      </c>
      <c r="CC108" s="929">
        <f t="shared" si="427"/>
        <v>0</v>
      </c>
      <c r="CD108" s="929">
        <f t="shared" si="428"/>
        <v>4.4000000000000004</v>
      </c>
      <c r="CE108" s="949">
        <f t="shared" si="429"/>
        <v>0</v>
      </c>
      <c r="CF108" s="963">
        <f t="shared" si="430"/>
        <v>6</v>
      </c>
      <c r="CG108" s="957">
        <f t="shared" si="686"/>
        <v>40</v>
      </c>
      <c r="CH108" s="209">
        <f t="shared" si="687"/>
        <v>0</v>
      </c>
      <c r="CI108" s="930">
        <f t="shared" si="688"/>
        <v>1.6</v>
      </c>
      <c r="CJ108" s="998">
        <f t="shared" si="689"/>
        <v>0</v>
      </c>
      <c r="CK108" s="1000">
        <f>Matryca!Q108</f>
        <v>3</v>
      </c>
      <c r="CL108" s="1001">
        <f>Matryca!R108</f>
        <v>8</v>
      </c>
      <c r="CM108" s="1002">
        <f>Matryca!S108</f>
        <v>2</v>
      </c>
    </row>
    <row r="109" spans="1:91" s="44" customFormat="1" ht="32.25" customHeight="1" x14ac:dyDescent="0.25">
      <c r="A109" s="45">
        <v>86</v>
      </c>
      <c r="B109" s="47"/>
      <c r="C109" s="46" t="s">
        <v>107</v>
      </c>
      <c r="D109" s="46"/>
      <c r="E109" s="47">
        <v>5</v>
      </c>
      <c r="F109" s="46" t="s">
        <v>973</v>
      </c>
      <c r="G109" s="46" t="s">
        <v>95</v>
      </c>
      <c r="H109" s="118"/>
      <c r="I109" s="870" t="s">
        <v>744</v>
      </c>
      <c r="J109" s="118"/>
      <c r="K109" s="118"/>
      <c r="L109" s="1089" t="s">
        <v>418</v>
      </c>
      <c r="M109" s="49">
        <f t="shared" si="669"/>
        <v>150</v>
      </c>
      <c r="N109" s="50">
        <f t="shared" si="670"/>
        <v>110</v>
      </c>
      <c r="O109" s="54">
        <f t="shared" si="671"/>
        <v>40</v>
      </c>
      <c r="P109" s="424">
        <f t="shared" si="672"/>
        <v>40</v>
      </c>
      <c r="Q109" s="52">
        <f t="shared" si="673"/>
        <v>6</v>
      </c>
      <c r="R109" s="76">
        <f t="shared" si="674"/>
        <v>0</v>
      </c>
      <c r="S109" s="38">
        <f t="shared" si="675"/>
        <v>0</v>
      </c>
      <c r="T109" s="39">
        <f t="shared" si="676"/>
        <v>0</v>
      </c>
      <c r="U109" s="187">
        <f t="shared" si="677"/>
        <v>1.6</v>
      </c>
      <c r="V109" s="1093" t="s">
        <v>99</v>
      </c>
      <c r="W109" s="55"/>
      <c r="X109" s="155"/>
      <c r="Y109" s="53">
        <f t="shared" si="678"/>
        <v>0</v>
      </c>
      <c r="Z109" s="54">
        <f t="shared" si="679"/>
        <v>0</v>
      </c>
      <c r="AA109" s="419">
        <f t="shared" si="680"/>
        <v>0</v>
      </c>
      <c r="AB109" s="260"/>
      <c r="AC109" s="277"/>
      <c r="AD109" s="265"/>
      <c r="AE109" s="265"/>
      <c r="AF109" s="265"/>
      <c r="AG109" s="265"/>
      <c r="AH109" s="265"/>
      <c r="AI109" s="265"/>
      <c r="AJ109" s="265"/>
      <c r="AK109" s="265"/>
      <c r="AL109" s="265"/>
      <c r="AM109" s="265"/>
      <c r="AN109" s="265"/>
      <c r="AO109" s="265"/>
      <c r="AP109" s="265"/>
      <c r="AQ109" s="265"/>
      <c r="AR109" s="278"/>
      <c r="AS109" s="279"/>
      <c r="AT109" s="45" t="s">
        <v>99</v>
      </c>
      <c r="AU109" s="202">
        <v>6</v>
      </c>
      <c r="AV109" s="49">
        <f t="shared" si="681"/>
        <v>150</v>
      </c>
      <c r="AW109" s="54">
        <f t="shared" si="682"/>
        <v>40</v>
      </c>
      <c r="AX109" s="424">
        <f t="shared" si="683"/>
        <v>40</v>
      </c>
      <c r="AY109" s="265"/>
      <c r="AZ109" s="277"/>
      <c r="BA109" s="265">
        <v>40</v>
      </c>
      <c r="BB109" s="265"/>
      <c r="BC109" s="265"/>
      <c r="BD109" s="265"/>
      <c r="BE109" s="265"/>
      <c r="BF109" s="265"/>
      <c r="BG109" s="265"/>
      <c r="BH109" s="265"/>
      <c r="BI109" s="265"/>
      <c r="BJ109" s="265"/>
      <c r="BK109" s="265"/>
      <c r="BL109" s="265"/>
      <c r="BM109" s="265"/>
      <c r="BN109" s="265"/>
      <c r="BO109" s="278"/>
      <c r="BP109" s="279">
        <v>110</v>
      </c>
      <c r="BQ109" s="142">
        <f t="shared" si="684"/>
        <v>25</v>
      </c>
      <c r="BR109" s="209" t="str">
        <f t="shared" si="685"/>
        <v>Wartość prawidłowa</v>
      </c>
      <c r="BS109" s="926">
        <f t="shared" si="417"/>
        <v>40</v>
      </c>
      <c r="BT109" s="118">
        <f t="shared" si="418"/>
        <v>0</v>
      </c>
      <c r="BU109" s="118">
        <f t="shared" si="419"/>
        <v>0</v>
      </c>
      <c r="BV109" s="118">
        <f t="shared" si="420"/>
        <v>0</v>
      </c>
      <c r="BW109" s="118">
        <f t="shared" si="421"/>
        <v>110</v>
      </c>
      <c r="BX109" s="209">
        <f t="shared" si="422"/>
        <v>0</v>
      </c>
      <c r="BY109" s="927">
        <f t="shared" si="423"/>
        <v>150</v>
      </c>
      <c r="BZ109" s="928">
        <f t="shared" si="424"/>
        <v>1.6</v>
      </c>
      <c r="CA109" s="929">
        <f t="shared" si="425"/>
        <v>0</v>
      </c>
      <c r="CB109" s="929">
        <f t="shared" si="426"/>
        <v>0</v>
      </c>
      <c r="CC109" s="929">
        <f t="shared" si="427"/>
        <v>0</v>
      </c>
      <c r="CD109" s="929">
        <f t="shared" si="428"/>
        <v>4.4000000000000004</v>
      </c>
      <c r="CE109" s="949">
        <f t="shared" si="429"/>
        <v>0</v>
      </c>
      <c r="CF109" s="963">
        <f t="shared" si="430"/>
        <v>6</v>
      </c>
      <c r="CG109" s="957">
        <f t="shared" si="686"/>
        <v>40</v>
      </c>
      <c r="CH109" s="209">
        <f t="shared" si="687"/>
        <v>0</v>
      </c>
      <c r="CI109" s="930">
        <f t="shared" si="688"/>
        <v>1.6</v>
      </c>
      <c r="CJ109" s="998">
        <f t="shared" si="689"/>
        <v>0</v>
      </c>
      <c r="CK109" s="1000">
        <f>Matryca!Q109</f>
        <v>3</v>
      </c>
      <c r="CL109" s="1001">
        <f>Matryca!R109</f>
        <v>8</v>
      </c>
      <c r="CM109" s="1002">
        <f>Matryca!S109</f>
        <v>2</v>
      </c>
    </row>
    <row r="110" spans="1:91" s="44" customFormat="1" ht="32.25" customHeight="1" x14ac:dyDescent="0.25">
      <c r="A110" s="45">
        <v>87</v>
      </c>
      <c r="B110" s="62"/>
      <c r="C110" s="61" t="s">
        <v>107</v>
      </c>
      <c r="D110" s="991" t="s">
        <v>498</v>
      </c>
      <c r="E110" s="62">
        <v>5</v>
      </c>
      <c r="F110" s="61" t="s">
        <v>973</v>
      </c>
      <c r="G110" s="61" t="s">
        <v>60</v>
      </c>
      <c r="H110" s="121"/>
      <c r="I110" s="1091" t="s">
        <v>485</v>
      </c>
      <c r="J110" s="121"/>
      <c r="K110" s="121"/>
      <c r="L110" s="1089" t="s">
        <v>417</v>
      </c>
      <c r="M110" s="65">
        <f t="shared" ref="M110:M111" si="705">Y110+AV110</f>
        <v>125</v>
      </c>
      <c r="N110" s="66">
        <f t="shared" ref="N110:N111" si="706">AS110+BP110</f>
        <v>70</v>
      </c>
      <c r="O110" s="72">
        <f t="shared" ref="O110:O111" si="707">Z110+AW110</f>
        <v>55</v>
      </c>
      <c r="P110" s="425">
        <f t="shared" ref="P110:P111" si="708">AA110+AX110</f>
        <v>55</v>
      </c>
      <c r="Q110" s="52">
        <f t="shared" si="673"/>
        <v>5</v>
      </c>
      <c r="R110" s="215">
        <f t="shared" ref="R110:R111" si="709">IFERROR((AL110+BI110)*Q110/O110," ")</f>
        <v>0</v>
      </c>
      <c r="S110" s="38">
        <f t="shared" ref="S110:S111" si="710">IFERROR(IF(L110="tak",(SUM(AE110:AL110,AQ110,BB110:BI110,BN110))*Q110/O110,0),0)</f>
        <v>4.0909090909090908</v>
      </c>
      <c r="T110" s="70">
        <f t="shared" ref="T110:T111" si="711">IFERROR((AC110+AO110+AZ110+BL110)*Q110/O110," ")</f>
        <v>0.90909090909090906</v>
      </c>
      <c r="U110" s="324">
        <f t="shared" ref="U110:U111" si="712">IFERROR((SUM(AB110,AD110:AN110,AY110,BA110:BK110,AP110:AQ110,BM110:BN110)*Q110/M110)," ")</f>
        <v>2.2000000000000002</v>
      </c>
      <c r="V110" s="1094" t="s">
        <v>56</v>
      </c>
      <c r="W110" s="1111" t="s">
        <v>99</v>
      </c>
      <c r="X110" s="155">
        <v>5</v>
      </c>
      <c r="Y110" s="71">
        <f t="shared" ref="Y110:Y111" si="713">AS110+Z110</f>
        <v>125</v>
      </c>
      <c r="Z110" s="72">
        <f t="shared" ref="Z110:Z111" si="714">AR110+AA110</f>
        <v>55</v>
      </c>
      <c r="AA110" s="423">
        <f t="shared" ref="AA110:AA111" si="715">(SUM(AB110:AQ110))-AC110</f>
        <v>55</v>
      </c>
      <c r="AB110" s="281">
        <v>10</v>
      </c>
      <c r="AC110" s="280">
        <v>10</v>
      </c>
      <c r="AD110" s="281"/>
      <c r="AE110" s="888">
        <v>45</v>
      </c>
      <c r="AF110" s="281"/>
      <c r="AG110" s="281"/>
      <c r="AH110" s="281"/>
      <c r="AI110" s="281"/>
      <c r="AJ110" s="281"/>
      <c r="AK110" s="281"/>
      <c r="AL110" s="281"/>
      <c r="AM110" s="281"/>
      <c r="AN110" s="281"/>
      <c r="AO110" s="281"/>
      <c r="AP110" s="281"/>
      <c r="AQ110" s="281"/>
      <c r="AR110" s="282"/>
      <c r="AS110" s="283">
        <v>70</v>
      </c>
      <c r="AT110" s="46"/>
      <c r="AU110" s="46"/>
      <c r="AV110" s="65">
        <f t="shared" ref="AV110:AV111" si="716">BP110+AW110</f>
        <v>0</v>
      </c>
      <c r="AW110" s="72">
        <f t="shared" ref="AW110:AW111" si="717">BO110+AX110</f>
        <v>0</v>
      </c>
      <c r="AX110" s="425">
        <f t="shared" ref="AX110:AX111" si="718">(SUM(AY110:BN110))-AZ110</f>
        <v>0</v>
      </c>
      <c r="AY110" s="281"/>
      <c r="AZ110" s="280"/>
      <c r="BA110" s="281"/>
      <c r="BB110" s="888"/>
      <c r="BC110" s="281"/>
      <c r="BD110" s="281"/>
      <c r="BE110" s="281"/>
      <c r="BF110" s="281"/>
      <c r="BG110" s="281"/>
      <c r="BH110" s="281"/>
      <c r="BI110" s="281"/>
      <c r="BJ110" s="281"/>
      <c r="BK110" s="281"/>
      <c r="BL110" s="281"/>
      <c r="BM110" s="281"/>
      <c r="BN110" s="281"/>
      <c r="BO110" s="282"/>
      <c r="BP110" s="283"/>
      <c r="BQ110" s="217">
        <f t="shared" ref="BQ110:BQ111" si="719">IFERROR(M110/Q110," ")</f>
        <v>25</v>
      </c>
      <c r="BR110" s="210" t="str">
        <f t="shared" ref="BR110:BR111" si="720">IF(OR(BQ110&gt;30,BQ110&lt;25),"1 ECTS powinien mieścić się przedziale 25-30h","Wartość prawidłowa")</f>
        <v>Wartość prawidłowa</v>
      </c>
      <c r="BS110" s="926">
        <f t="shared" ref="BS110:BS111" si="721">SUM(AB110,AD110:AP110,AY110,BA110:BM110)-AC110-AZ110-AO110-BL110</f>
        <v>45</v>
      </c>
      <c r="BT110" s="118">
        <f t="shared" ref="BT110:BT111" si="722">AC110+AZ110</f>
        <v>10</v>
      </c>
      <c r="BU110" s="118">
        <f t="shared" ref="BU110:BU111" si="723">AO110+BL110</f>
        <v>0</v>
      </c>
      <c r="BV110" s="118">
        <f t="shared" ref="BV110:BV111" si="724">AR110+BO110</f>
        <v>0</v>
      </c>
      <c r="BW110" s="118">
        <f t="shared" ref="BW110:BW111" si="725">N110</f>
        <v>70</v>
      </c>
      <c r="BX110" s="209">
        <f t="shared" ref="BX110:BX111" si="726">AQ110+BN110</f>
        <v>0</v>
      </c>
      <c r="BY110" s="927">
        <f t="shared" ref="BY110:BY111" si="727">SUM(BS110:BX110)</f>
        <v>125</v>
      </c>
      <c r="BZ110" s="928">
        <f t="shared" ref="BZ110:BZ111" si="728">IFERROR((BS110*Q110)/BY110," ")</f>
        <v>1.8</v>
      </c>
      <c r="CA110" s="929">
        <f t="shared" ref="CA110:CA111" si="729">IFERROR((BT110*Q110)/BY110," ")</f>
        <v>0.4</v>
      </c>
      <c r="CB110" s="929">
        <f t="shared" ref="CB110:CB111" si="730">IFERROR((BU110*Q110)/BY110," ")</f>
        <v>0</v>
      </c>
      <c r="CC110" s="929">
        <f t="shared" ref="CC110:CC111" si="731">IFERROR((BV110*Q110)/BY110," ")</f>
        <v>0</v>
      </c>
      <c r="CD110" s="929">
        <f t="shared" ref="CD110:CD111" si="732">IFERROR((BW110*Q110)/BY110," ")</f>
        <v>2.8</v>
      </c>
      <c r="CE110" s="949">
        <f t="shared" ref="CE110:CE111" si="733">IFERROR((BX110*Q110)/BY110," ")</f>
        <v>0</v>
      </c>
      <c r="CF110" s="963">
        <f t="shared" ref="CF110:CF111" si="734">IFERROR((SUM(BZ110:CE110))," ")</f>
        <v>5</v>
      </c>
      <c r="CG110" s="957">
        <f t="shared" ref="CG110:CG111" si="735">SUM(BS110:BT110,BX110)</f>
        <v>55</v>
      </c>
      <c r="CH110" s="209">
        <f t="shared" ref="CH110:CH111" si="736">SUM(BT110:BU110)</f>
        <v>10</v>
      </c>
      <c r="CI110" s="930">
        <f t="shared" ref="CI110:CI111" si="737">SUM(BZ110:CA110,CE110)</f>
        <v>2.2000000000000002</v>
      </c>
      <c r="CJ110" s="998">
        <f t="shared" ref="CJ110:CJ111" si="738">SUM(CA110:CB110)</f>
        <v>0.4</v>
      </c>
      <c r="CK110" s="1000">
        <f>Matryca!Q110</f>
        <v>4</v>
      </c>
      <c r="CL110" s="1001">
        <f>Matryca!R110</f>
        <v>6</v>
      </c>
      <c r="CM110" s="1002">
        <f>Matryca!S110</f>
        <v>1</v>
      </c>
    </row>
    <row r="111" spans="1:91" s="44" customFormat="1" ht="48.75" customHeight="1" x14ac:dyDescent="0.25">
      <c r="A111" s="45">
        <v>88</v>
      </c>
      <c r="B111" s="47"/>
      <c r="C111" s="61" t="s">
        <v>107</v>
      </c>
      <c r="D111" s="991" t="s">
        <v>498</v>
      </c>
      <c r="E111" s="62">
        <v>5</v>
      </c>
      <c r="F111" s="61" t="s">
        <v>973</v>
      </c>
      <c r="G111" s="61" t="s">
        <v>60</v>
      </c>
      <c r="H111" s="63"/>
      <c r="I111" s="1092" t="s">
        <v>533</v>
      </c>
      <c r="J111" s="121"/>
      <c r="K111" s="121"/>
      <c r="L111" s="1089" t="s">
        <v>417</v>
      </c>
      <c r="M111" s="49">
        <f t="shared" si="705"/>
        <v>175</v>
      </c>
      <c r="N111" s="50">
        <f t="shared" si="706"/>
        <v>85</v>
      </c>
      <c r="O111" s="54">
        <f t="shared" si="707"/>
        <v>90</v>
      </c>
      <c r="P111" s="424">
        <f t="shared" si="708"/>
        <v>90</v>
      </c>
      <c r="Q111" s="52">
        <f t="shared" si="673"/>
        <v>7</v>
      </c>
      <c r="R111" s="76">
        <f t="shared" si="709"/>
        <v>0</v>
      </c>
      <c r="S111" s="38">
        <f t="shared" si="710"/>
        <v>6.2222222222222223</v>
      </c>
      <c r="T111" s="39">
        <f t="shared" si="711"/>
        <v>0.77777777777777779</v>
      </c>
      <c r="U111" s="187">
        <f t="shared" si="712"/>
        <v>3.6</v>
      </c>
      <c r="V111" s="1093" t="s">
        <v>56</v>
      </c>
      <c r="X111" s="46"/>
      <c r="Y111" s="53">
        <f t="shared" si="713"/>
        <v>0</v>
      </c>
      <c r="Z111" s="54">
        <f t="shared" si="714"/>
        <v>0</v>
      </c>
      <c r="AA111" s="419">
        <f t="shared" si="715"/>
        <v>0</v>
      </c>
      <c r="AB111" s="265"/>
      <c r="AC111" s="286"/>
      <c r="AD111" s="265"/>
      <c r="AE111" s="265"/>
      <c r="AF111" s="265"/>
      <c r="AG111" s="265"/>
      <c r="AH111" s="265"/>
      <c r="AI111" s="265"/>
      <c r="AJ111" s="265"/>
      <c r="AK111" s="265"/>
      <c r="AL111" s="265"/>
      <c r="AM111" s="265"/>
      <c r="AN111" s="265"/>
      <c r="AO111" s="265"/>
      <c r="AP111" s="265"/>
      <c r="AQ111" s="265"/>
      <c r="AR111" s="278"/>
      <c r="AS111" s="279"/>
      <c r="AT111" s="55" t="s">
        <v>99</v>
      </c>
      <c r="AU111" s="155">
        <v>7</v>
      </c>
      <c r="AV111" s="49">
        <f t="shared" si="716"/>
        <v>175</v>
      </c>
      <c r="AW111" s="54">
        <f t="shared" si="717"/>
        <v>90</v>
      </c>
      <c r="AX111" s="424">
        <f t="shared" si="718"/>
        <v>90</v>
      </c>
      <c r="AY111" s="265">
        <v>10</v>
      </c>
      <c r="AZ111" s="286">
        <v>10</v>
      </c>
      <c r="BA111" s="265"/>
      <c r="BB111" s="265">
        <v>40</v>
      </c>
      <c r="BC111" s="265"/>
      <c r="BD111" s="265"/>
      <c r="BE111" s="265"/>
      <c r="BF111" s="265"/>
      <c r="BG111" s="265"/>
      <c r="BH111" s="265">
        <v>40</v>
      </c>
      <c r="BI111" s="265"/>
      <c r="BJ111" s="265"/>
      <c r="BK111" s="265"/>
      <c r="BL111" s="265"/>
      <c r="BM111" s="265"/>
      <c r="BN111" s="265"/>
      <c r="BO111" s="278"/>
      <c r="BP111" s="279">
        <v>85</v>
      </c>
      <c r="BQ111" s="142">
        <f t="shared" si="719"/>
        <v>25</v>
      </c>
      <c r="BR111" s="209" t="str">
        <f t="shared" si="720"/>
        <v>Wartość prawidłowa</v>
      </c>
      <c r="BS111" s="926">
        <f t="shared" si="721"/>
        <v>80</v>
      </c>
      <c r="BT111" s="118">
        <f t="shared" si="722"/>
        <v>10</v>
      </c>
      <c r="BU111" s="118">
        <f t="shared" si="723"/>
        <v>0</v>
      </c>
      <c r="BV111" s="118">
        <f t="shared" si="724"/>
        <v>0</v>
      </c>
      <c r="BW111" s="118">
        <f t="shared" si="725"/>
        <v>85</v>
      </c>
      <c r="BX111" s="209">
        <f t="shared" si="726"/>
        <v>0</v>
      </c>
      <c r="BY111" s="927">
        <f t="shared" si="727"/>
        <v>175</v>
      </c>
      <c r="BZ111" s="928">
        <f t="shared" si="728"/>
        <v>3.2</v>
      </c>
      <c r="CA111" s="929">
        <f t="shared" si="729"/>
        <v>0.4</v>
      </c>
      <c r="CB111" s="929">
        <f t="shared" si="730"/>
        <v>0</v>
      </c>
      <c r="CC111" s="929">
        <f t="shared" si="731"/>
        <v>0</v>
      </c>
      <c r="CD111" s="929">
        <f t="shared" si="732"/>
        <v>3.4</v>
      </c>
      <c r="CE111" s="949">
        <f t="shared" si="733"/>
        <v>0</v>
      </c>
      <c r="CF111" s="963">
        <f t="shared" si="734"/>
        <v>7</v>
      </c>
      <c r="CG111" s="957">
        <f t="shared" si="735"/>
        <v>90</v>
      </c>
      <c r="CH111" s="209">
        <f t="shared" si="736"/>
        <v>10</v>
      </c>
      <c r="CI111" s="930">
        <f t="shared" si="737"/>
        <v>3.6</v>
      </c>
      <c r="CJ111" s="998">
        <f t="shared" si="738"/>
        <v>0.4</v>
      </c>
      <c r="CK111" s="1000">
        <f>Matryca!Q111</f>
        <v>3</v>
      </c>
      <c r="CL111" s="1001">
        <f>Matryca!R111</f>
        <v>5</v>
      </c>
      <c r="CM111" s="1002">
        <f>Matryca!S111</f>
        <v>3</v>
      </c>
    </row>
    <row r="112" spans="1:91" s="44" customFormat="1" ht="30" customHeight="1" x14ac:dyDescent="0.25">
      <c r="A112" s="45">
        <v>89</v>
      </c>
      <c r="B112" s="47"/>
      <c r="C112" s="61" t="s">
        <v>107</v>
      </c>
      <c r="D112" s="991" t="s">
        <v>498</v>
      </c>
      <c r="E112" s="62">
        <v>5</v>
      </c>
      <c r="F112" s="61" t="s">
        <v>973</v>
      </c>
      <c r="G112" s="61" t="s">
        <v>60</v>
      </c>
      <c r="H112" s="63"/>
      <c r="I112" s="1091" t="s">
        <v>530</v>
      </c>
      <c r="J112" s="121"/>
      <c r="K112" s="121"/>
      <c r="L112" s="1089" t="s">
        <v>417</v>
      </c>
      <c r="M112" s="49">
        <f t="shared" ref="M112:M115" si="739">Y112+AV112</f>
        <v>150</v>
      </c>
      <c r="N112" s="50">
        <f t="shared" ref="N112:N115" si="740">AS112+BP112</f>
        <v>95</v>
      </c>
      <c r="O112" s="54">
        <f t="shared" ref="O112:O115" si="741">Z112+AW112</f>
        <v>55</v>
      </c>
      <c r="P112" s="424">
        <f t="shared" ref="P112:P115" si="742">AA112+AX112</f>
        <v>55</v>
      </c>
      <c r="Q112" s="52">
        <f t="shared" si="673"/>
        <v>6</v>
      </c>
      <c r="R112" s="76">
        <f t="shared" ref="R112:R115" si="743">IFERROR((AL112+BI112)*Q112/O112," ")</f>
        <v>0</v>
      </c>
      <c r="S112" s="38">
        <f t="shared" ref="S112:S115" si="744">IFERROR(IF(L112="tak",(SUM(AE112:AL112,AQ112,BB112:BI112,BN112))*Q112/O112,0),0)</f>
        <v>4.9090909090909092</v>
      </c>
      <c r="T112" s="39">
        <f t="shared" ref="T112:T115" si="745">IFERROR((AC112+AO112+AZ112+BL112)*Q112/O112," ")</f>
        <v>1.0909090909090908</v>
      </c>
      <c r="U112" s="187">
        <f t="shared" ref="U112:U115" si="746">IFERROR((SUM(AB112,AD112:AN112,AY112,BA112:BK112,AP112:AQ112,BM112:BN112)*Q112/M112)," ")</f>
        <v>2.2000000000000002</v>
      </c>
      <c r="V112" s="1093" t="s">
        <v>99</v>
      </c>
      <c r="W112" s="55" t="s">
        <v>99</v>
      </c>
      <c r="X112" s="155">
        <v>6</v>
      </c>
      <c r="Y112" s="53">
        <f t="shared" ref="Y112:Y115" si="747">AS112+Z112</f>
        <v>150</v>
      </c>
      <c r="Z112" s="54">
        <f t="shared" ref="Z112:Z115" si="748">AR112+AA112</f>
        <v>55</v>
      </c>
      <c r="AA112" s="419">
        <f t="shared" ref="AA112:AA115" si="749">(SUM(AB112:AQ112))-AC112</f>
        <v>55</v>
      </c>
      <c r="AB112" s="265">
        <v>10</v>
      </c>
      <c r="AC112" s="286">
        <v>10</v>
      </c>
      <c r="AD112" s="265"/>
      <c r="AE112" s="886">
        <v>45</v>
      </c>
      <c r="AF112" s="265"/>
      <c r="AG112" s="265"/>
      <c r="AH112" s="265"/>
      <c r="AI112" s="265"/>
      <c r="AJ112" s="265"/>
      <c r="AK112" s="265"/>
      <c r="AL112" s="265"/>
      <c r="AM112" s="265"/>
      <c r="AN112" s="265"/>
      <c r="AO112" s="265"/>
      <c r="AP112" s="265"/>
      <c r="AQ112" s="265"/>
      <c r="AR112" s="278"/>
      <c r="AS112" s="279">
        <v>95</v>
      </c>
      <c r="AT112" s="45"/>
      <c r="AU112" s="622"/>
      <c r="AV112" s="623">
        <f t="shared" ref="AV112:AV115" si="750">BP112+AW112</f>
        <v>0</v>
      </c>
      <c r="AW112" s="624">
        <f t="shared" ref="AW112:AW115" si="751">BO112+AX112</f>
        <v>0</v>
      </c>
      <c r="AX112" s="625">
        <f t="shared" ref="AX112:AX115" si="752">(SUM(AY112:BN112))-AZ112</f>
        <v>0</v>
      </c>
      <c r="AY112" s="626"/>
      <c r="AZ112" s="627"/>
      <c r="BA112" s="626"/>
      <c r="BB112" s="265"/>
      <c r="BD112" s="626"/>
      <c r="BE112" s="626"/>
      <c r="BF112" s="626"/>
      <c r="BG112" s="626"/>
      <c r="BH112" s="626"/>
      <c r="BI112" s="626"/>
      <c r="BJ112" s="626"/>
      <c r="BK112" s="626"/>
      <c r="BL112" s="626"/>
      <c r="BM112" s="626"/>
      <c r="BN112" s="626"/>
      <c r="BO112" s="278"/>
      <c r="BP112" s="309"/>
      <c r="BQ112" s="142">
        <f t="shared" ref="BQ112:BQ115" si="753">IFERROR(M112/Q112," ")</f>
        <v>25</v>
      </c>
      <c r="BR112" s="209" t="str">
        <f t="shared" ref="BR112:BR115" si="754">IF(OR(BQ112&gt;30,BQ112&lt;25),"1 ECTS powinien mieścić się przedziale 25-30h","Wartość prawidłowa")</f>
        <v>Wartość prawidłowa</v>
      </c>
      <c r="BS112" s="926">
        <f t="shared" ref="BS112:BS115" si="755">SUM(AB112,AD112:AP112,AY112,BA112:BM112)-AC112-AZ112-AO112-BL112</f>
        <v>45</v>
      </c>
      <c r="BT112" s="118">
        <f t="shared" ref="BT112:BT115" si="756">AC112+AZ112</f>
        <v>10</v>
      </c>
      <c r="BU112" s="118">
        <f t="shared" ref="BU112:BU115" si="757">AO112+BL112</f>
        <v>0</v>
      </c>
      <c r="BV112" s="118">
        <f t="shared" ref="BV112:BV115" si="758">AR112+BO112</f>
        <v>0</v>
      </c>
      <c r="BW112" s="118">
        <f t="shared" ref="BW112:BW115" si="759">N112</f>
        <v>95</v>
      </c>
      <c r="BX112" s="209">
        <f t="shared" ref="BX112:BX115" si="760">AQ112+BN112</f>
        <v>0</v>
      </c>
      <c r="BY112" s="927">
        <f t="shared" ref="BY112:BY115" si="761">SUM(BS112:BX112)</f>
        <v>150</v>
      </c>
      <c r="BZ112" s="928">
        <f t="shared" ref="BZ112:BZ115" si="762">IFERROR((BS112*Q112)/BY112," ")</f>
        <v>1.8</v>
      </c>
      <c r="CA112" s="929">
        <f t="shared" ref="CA112:CA115" si="763">IFERROR((BT112*Q112)/BY112," ")</f>
        <v>0.4</v>
      </c>
      <c r="CB112" s="929">
        <f t="shared" ref="CB112:CB115" si="764">IFERROR((BU112*Q112)/BY112," ")</f>
        <v>0</v>
      </c>
      <c r="CC112" s="929">
        <f t="shared" ref="CC112:CC115" si="765">IFERROR((BV112*Q112)/BY112," ")</f>
        <v>0</v>
      </c>
      <c r="CD112" s="929">
        <f t="shared" ref="CD112:CD115" si="766">IFERROR((BW112*Q112)/BY112," ")</f>
        <v>3.8</v>
      </c>
      <c r="CE112" s="949">
        <f t="shared" ref="CE112:CE115" si="767">IFERROR((BX112*Q112)/BY112," ")</f>
        <v>0</v>
      </c>
      <c r="CF112" s="963">
        <f t="shared" ref="CF112:CF115" si="768">IFERROR((SUM(BZ112:CE112))," ")</f>
        <v>6</v>
      </c>
      <c r="CG112" s="957">
        <f t="shared" ref="CG112:CG115" si="769">SUM(BS112:BT112,BX112)</f>
        <v>55</v>
      </c>
      <c r="CH112" s="209">
        <f t="shared" ref="CH112:CH115" si="770">SUM(BT112:BU112)</f>
        <v>10</v>
      </c>
      <c r="CI112" s="930">
        <f t="shared" ref="CI112:CI115" si="771">SUM(BZ112:CA112,CE112)</f>
        <v>2.2000000000000002</v>
      </c>
      <c r="CJ112" s="998">
        <f t="shared" ref="CJ112:CJ115" si="772">SUM(CA112:CB112)</f>
        <v>0.4</v>
      </c>
      <c r="CK112" s="1000">
        <f>Matryca!Q112</f>
        <v>4</v>
      </c>
      <c r="CL112" s="1001">
        <f>Matryca!R112</f>
        <v>7</v>
      </c>
      <c r="CM112" s="1002">
        <f>Matryca!S112</f>
        <v>1</v>
      </c>
    </row>
    <row r="113" spans="1:91" s="44" customFormat="1" ht="53.25" customHeight="1" x14ac:dyDescent="0.25">
      <c r="A113" s="45">
        <v>90</v>
      </c>
      <c r="B113" s="62"/>
      <c r="C113" s="61" t="s">
        <v>107</v>
      </c>
      <c r="D113" s="991" t="s">
        <v>498</v>
      </c>
      <c r="E113" s="62">
        <v>5</v>
      </c>
      <c r="F113" s="61" t="s">
        <v>973</v>
      </c>
      <c r="G113" s="61" t="s">
        <v>60</v>
      </c>
      <c r="H113" s="121"/>
      <c r="I113" s="1091" t="s">
        <v>587</v>
      </c>
      <c r="J113" s="121"/>
      <c r="K113" s="121"/>
      <c r="L113" s="1089" t="s">
        <v>417</v>
      </c>
      <c r="M113" s="65">
        <f t="shared" si="739"/>
        <v>125</v>
      </c>
      <c r="N113" s="66">
        <f t="shared" si="740"/>
        <v>70</v>
      </c>
      <c r="O113" s="72">
        <f t="shared" si="741"/>
        <v>55</v>
      </c>
      <c r="P113" s="425">
        <f t="shared" si="742"/>
        <v>55</v>
      </c>
      <c r="Q113" s="52">
        <f t="shared" si="673"/>
        <v>5</v>
      </c>
      <c r="R113" s="215">
        <f t="shared" si="743"/>
        <v>0</v>
      </c>
      <c r="S113" s="38">
        <f t="shared" si="744"/>
        <v>4.0909090909090908</v>
      </c>
      <c r="T113" s="70">
        <f t="shared" si="745"/>
        <v>0.90909090909090906</v>
      </c>
      <c r="U113" s="324">
        <f t="shared" si="746"/>
        <v>2.2000000000000002</v>
      </c>
      <c r="V113" s="1093" t="s">
        <v>56</v>
      </c>
      <c r="W113" s="89"/>
      <c r="X113" s="206"/>
      <c r="Y113" s="53">
        <f t="shared" si="747"/>
        <v>0</v>
      </c>
      <c r="Z113" s="54">
        <f t="shared" si="748"/>
        <v>0</v>
      </c>
      <c r="AA113" s="419">
        <f t="shared" si="749"/>
        <v>0</v>
      </c>
      <c r="AB113" s="262"/>
      <c r="AC113" s="280"/>
      <c r="AD113" s="281"/>
      <c r="AE113" s="281"/>
      <c r="AF113" s="281"/>
      <c r="AG113" s="281"/>
      <c r="AH113" s="281"/>
      <c r="AI113" s="281"/>
      <c r="AJ113" s="281"/>
      <c r="AK113" s="281"/>
      <c r="AL113" s="281"/>
      <c r="AM113" s="281"/>
      <c r="AN113" s="281"/>
      <c r="AO113" s="281"/>
      <c r="AP113" s="281"/>
      <c r="AQ113" s="281"/>
      <c r="AR113" s="282"/>
      <c r="AS113" s="283"/>
      <c r="AT113" s="64" t="s">
        <v>99</v>
      </c>
      <c r="AU113" s="203">
        <v>5</v>
      </c>
      <c r="AV113" s="65">
        <f t="shared" si="750"/>
        <v>125</v>
      </c>
      <c r="AW113" s="72">
        <f t="shared" si="751"/>
        <v>55</v>
      </c>
      <c r="AX113" s="425">
        <f t="shared" si="752"/>
        <v>55</v>
      </c>
      <c r="AY113" s="281">
        <v>10</v>
      </c>
      <c r="AZ113" s="280">
        <v>10</v>
      </c>
      <c r="BA113" s="281"/>
      <c r="BB113" s="888">
        <v>45</v>
      </c>
      <c r="BC113" s="281"/>
      <c r="BD113" s="281"/>
      <c r="BE113" s="281"/>
      <c r="BF113" s="281"/>
      <c r="BG113" s="281"/>
      <c r="BH113" s="281"/>
      <c r="BI113" s="281"/>
      <c r="BJ113" s="281"/>
      <c r="BK113" s="281"/>
      <c r="BL113" s="281"/>
      <c r="BM113" s="281"/>
      <c r="BN113" s="281"/>
      <c r="BO113" s="282"/>
      <c r="BP113" s="283">
        <v>70</v>
      </c>
      <c r="BQ113" s="142">
        <f t="shared" si="753"/>
        <v>25</v>
      </c>
      <c r="BR113" s="210" t="str">
        <f t="shared" si="754"/>
        <v>Wartość prawidłowa</v>
      </c>
      <c r="BS113" s="926">
        <f t="shared" si="755"/>
        <v>45</v>
      </c>
      <c r="BT113" s="118">
        <f t="shared" si="756"/>
        <v>10</v>
      </c>
      <c r="BU113" s="118">
        <f t="shared" si="757"/>
        <v>0</v>
      </c>
      <c r="BV113" s="118">
        <f t="shared" si="758"/>
        <v>0</v>
      </c>
      <c r="BW113" s="118">
        <f t="shared" si="759"/>
        <v>70</v>
      </c>
      <c r="BX113" s="209">
        <f t="shared" si="760"/>
        <v>0</v>
      </c>
      <c r="BY113" s="927">
        <f t="shared" si="761"/>
        <v>125</v>
      </c>
      <c r="BZ113" s="928">
        <f t="shared" si="762"/>
        <v>1.8</v>
      </c>
      <c r="CA113" s="929">
        <f t="shared" si="763"/>
        <v>0.4</v>
      </c>
      <c r="CB113" s="929">
        <f t="shared" si="764"/>
        <v>0</v>
      </c>
      <c r="CC113" s="929">
        <f t="shared" si="765"/>
        <v>0</v>
      </c>
      <c r="CD113" s="929">
        <f t="shared" si="766"/>
        <v>2.8</v>
      </c>
      <c r="CE113" s="949">
        <f t="shared" si="767"/>
        <v>0</v>
      </c>
      <c r="CF113" s="963">
        <f t="shared" si="768"/>
        <v>5</v>
      </c>
      <c r="CG113" s="957">
        <f t="shared" si="769"/>
        <v>55</v>
      </c>
      <c r="CH113" s="209">
        <f t="shared" si="770"/>
        <v>10</v>
      </c>
      <c r="CI113" s="930">
        <f t="shared" si="771"/>
        <v>2.2000000000000002</v>
      </c>
      <c r="CJ113" s="998">
        <f t="shared" si="772"/>
        <v>0.4</v>
      </c>
      <c r="CK113" s="1000">
        <f>Matryca!Q113</f>
        <v>4</v>
      </c>
      <c r="CL113" s="1001">
        <f>Matryca!R113</f>
        <v>6</v>
      </c>
      <c r="CM113" s="1002">
        <f>Matryca!S113</f>
        <v>1</v>
      </c>
    </row>
    <row r="114" spans="1:91" s="44" customFormat="1" ht="32.25" customHeight="1" x14ac:dyDescent="0.25">
      <c r="A114" s="45">
        <v>91</v>
      </c>
      <c r="B114" s="47"/>
      <c r="C114" s="46" t="s">
        <v>107</v>
      </c>
      <c r="D114" s="992" t="s">
        <v>498</v>
      </c>
      <c r="E114" s="47">
        <v>5</v>
      </c>
      <c r="F114" s="46" t="s">
        <v>973</v>
      </c>
      <c r="G114" s="46" t="s">
        <v>60</v>
      </c>
      <c r="H114" s="118"/>
      <c r="I114" s="1090" t="s">
        <v>486</v>
      </c>
      <c r="J114" s="118"/>
      <c r="K114" s="118"/>
      <c r="L114" s="1089" t="s">
        <v>417</v>
      </c>
      <c r="M114" s="49">
        <f t="shared" si="739"/>
        <v>125</v>
      </c>
      <c r="N114" s="50">
        <f t="shared" si="740"/>
        <v>70</v>
      </c>
      <c r="O114" s="54">
        <f t="shared" si="741"/>
        <v>55</v>
      </c>
      <c r="P114" s="424">
        <f t="shared" si="742"/>
        <v>55</v>
      </c>
      <c r="Q114" s="52">
        <f t="shared" ref="Q114:Q121" si="773">X114+AU114</f>
        <v>5</v>
      </c>
      <c r="R114" s="76">
        <f t="shared" si="743"/>
        <v>0</v>
      </c>
      <c r="S114" s="38">
        <f t="shared" si="744"/>
        <v>4.0909090909090908</v>
      </c>
      <c r="T114" s="39">
        <f t="shared" si="745"/>
        <v>0.90909090909090906</v>
      </c>
      <c r="U114" s="187">
        <f t="shared" si="746"/>
        <v>2.2000000000000002</v>
      </c>
      <c r="V114" s="1093" t="s">
        <v>56</v>
      </c>
      <c r="W114" s="55"/>
      <c r="X114" s="155"/>
      <c r="Y114" s="53">
        <f t="shared" si="747"/>
        <v>0</v>
      </c>
      <c r="Z114" s="54">
        <f t="shared" si="748"/>
        <v>0</v>
      </c>
      <c r="AA114" s="419">
        <f t="shared" si="749"/>
        <v>0</v>
      </c>
      <c r="AB114" s="265"/>
      <c r="AC114" s="286"/>
      <c r="AD114" s="265"/>
      <c r="AE114" s="265"/>
      <c r="AF114" s="265"/>
      <c r="AG114" s="265"/>
      <c r="AH114" s="265"/>
      <c r="AI114" s="265"/>
      <c r="AJ114" s="265"/>
      <c r="AK114" s="265"/>
      <c r="AL114" s="265"/>
      <c r="AM114" s="265"/>
      <c r="AN114" s="265"/>
      <c r="AO114" s="265"/>
      <c r="AP114" s="265"/>
      <c r="AQ114" s="265"/>
      <c r="AR114" s="278"/>
      <c r="AS114" s="279"/>
      <c r="AT114" s="45" t="s">
        <v>99</v>
      </c>
      <c r="AU114" s="155">
        <v>5</v>
      </c>
      <c r="AV114" s="49">
        <f t="shared" si="750"/>
        <v>125</v>
      </c>
      <c r="AW114" s="54">
        <f t="shared" si="751"/>
        <v>55</v>
      </c>
      <c r="AX114" s="424">
        <f t="shared" si="752"/>
        <v>55</v>
      </c>
      <c r="AY114" s="265">
        <v>10</v>
      </c>
      <c r="AZ114" s="286">
        <v>10</v>
      </c>
      <c r="BA114" s="265"/>
      <c r="BB114" s="886">
        <v>45</v>
      </c>
      <c r="BC114" s="265"/>
      <c r="BD114" s="265"/>
      <c r="BE114" s="265"/>
      <c r="BF114" s="265"/>
      <c r="BG114" s="265"/>
      <c r="BH114" s="265"/>
      <c r="BI114" s="265"/>
      <c r="BJ114" s="265"/>
      <c r="BK114" s="265"/>
      <c r="BL114" s="265"/>
      <c r="BM114" s="265"/>
      <c r="BN114" s="265"/>
      <c r="BO114" s="278"/>
      <c r="BP114" s="309">
        <v>70</v>
      </c>
      <c r="BQ114" s="142">
        <f t="shared" si="753"/>
        <v>25</v>
      </c>
      <c r="BR114" s="209" t="str">
        <f t="shared" si="754"/>
        <v>Wartość prawidłowa</v>
      </c>
      <c r="BS114" s="926">
        <f t="shared" si="755"/>
        <v>45</v>
      </c>
      <c r="BT114" s="118">
        <f t="shared" si="756"/>
        <v>10</v>
      </c>
      <c r="BU114" s="118">
        <f t="shared" si="757"/>
        <v>0</v>
      </c>
      <c r="BV114" s="118">
        <f t="shared" si="758"/>
        <v>0</v>
      </c>
      <c r="BW114" s="118">
        <f t="shared" si="759"/>
        <v>70</v>
      </c>
      <c r="BX114" s="209">
        <f t="shared" si="760"/>
        <v>0</v>
      </c>
      <c r="BY114" s="927">
        <f t="shared" si="761"/>
        <v>125</v>
      </c>
      <c r="BZ114" s="928">
        <f t="shared" si="762"/>
        <v>1.8</v>
      </c>
      <c r="CA114" s="929">
        <f t="shared" si="763"/>
        <v>0.4</v>
      </c>
      <c r="CB114" s="929">
        <f t="shared" si="764"/>
        <v>0</v>
      </c>
      <c r="CC114" s="929">
        <f t="shared" si="765"/>
        <v>0</v>
      </c>
      <c r="CD114" s="929">
        <f t="shared" si="766"/>
        <v>2.8</v>
      </c>
      <c r="CE114" s="949">
        <f t="shared" si="767"/>
        <v>0</v>
      </c>
      <c r="CF114" s="963">
        <f t="shared" si="768"/>
        <v>5</v>
      </c>
      <c r="CG114" s="957">
        <f t="shared" si="769"/>
        <v>55</v>
      </c>
      <c r="CH114" s="209">
        <f t="shared" si="770"/>
        <v>10</v>
      </c>
      <c r="CI114" s="930">
        <f t="shared" si="771"/>
        <v>2.2000000000000002</v>
      </c>
      <c r="CJ114" s="998">
        <f t="shared" si="772"/>
        <v>0.4</v>
      </c>
      <c r="CK114" s="1000">
        <f>Matryca!Q114</f>
        <v>4</v>
      </c>
      <c r="CL114" s="1001">
        <f>Matryca!R114</f>
        <v>6</v>
      </c>
      <c r="CM114" s="1002">
        <f>Matryca!S114</f>
        <v>1</v>
      </c>
    </row>
    <row r="115" spans="1:91" s="44" customFormat="1" ht="32.25" customHeight="1" x14ac:dyDescent="0.25">
      <c r="A115" s="45">
        <v>92</v>
      </c>
      <c r="B115" s="47"/>
      <c r="C115" s="46" t="s">
        <v>107</v>
      </c>
      <c r="D115" s="992" t="s">
        <v>498</v>
      </c>
      <c r="E115" s="47">
        <v>5</v>
      </c>
      <c r="F115" s="46" t="s">
        <v>973</v>
      </c>
      <c r="G115" s="46" t="s">
        <v>60</v>
      </c>
      <c r="H115" s="48"/>
      <c r="I115" s="1088" t="s">
        <v>490</v>
      </c>
      <c r="J115" s="118"/>
      <c r="K115" s="118"/>
      <c r="L115" s="1089" t="s">
        <v>417</v>
      </c>
      <c r="M115" s="49">
        <f t="shared" si="739"/>
        <v>125</v>
      </c>
      <c r="N115" s="50">
        <f t="shared" si="740"/>
        <v>70</v>
      </c>
      <c r="O115" s="54">
        <f t="shared" si="741"/>
        <v>55</v>
      </c>
      <c r="P115" s="424">
        <f t="shared" si="742"/>
        <v>55</v>
      </c>
      <c r="Q115" s="52">
        <f t="shared" si="773"/>
        <v>5</v>
      </c>
      <c r="R115" s="76">
        <f t="shared" si="743"/>
        <v>0</v>
      </c>
      <c r="S115" s="38">
        <f t="shared" si="744"/>
        <v>4.0909090909090908</v>
      </c>
      <c r="T115" s="39">
        <f t="shared" si="745"/>
        <v>0.90909090909090906</v>
      </c>
      <c r="U115" s="187">
        <f t="shared" si="746"/>
        <v>2.2000000000000002</v>
      </c>
      <c r="V115" s="1093" t="s">
        <v>56</v>
      </c>
      <c r="W115" s="55" t="s">
        <v>99</v>
      </c>
      <c r="X115" s="155">
        <v>5</v>
      </c>
      <c r="Y115" s="53">
        <f t="shared" si="747"/>
        <v>125</v>
      </c>
      <c r="Z115" s="54">
        <f t="shared" si="748"/>
        <v>55</v>
      </c>
      <c r="AA115" s="419">
        <f t="shared" si="749"/>
        <v>55</v>
      </c>
      <c r="AB115" s="265">
        <v>10</v>
      </c>
      <c r="AC115" s="286">
        <v>10</v>
      </c>
      <c r="AD115" s="265"/>
      <c r="AE115" s="886">
        <v>45</v>
      </c>
      <c r="AF115" s="265"/>
      <c r="AG115" s="265"/>
      <c r="AH115" s="265"/>
      <c r="AI115" s="265"/>
      <c r="AJ115" s="265"/>
      <c r="AK115" s="265"/>
      <c r="AL115" s="265"/>
      <c r="AM115" s="265"/>
      <c r="AN115" s="265"/>
      <c r="AO115" s="265"/>
      <c r="AP115" s="265"/>
      <c r="AQ115" s="265"/>
      <c r="AR115" s="278"/>
      <c r="AS115" s="279">
        <v>70</v>
      </c>
      <c r="AT115" s="45"/>
      <c r="AU115" s="155"/>
      <c r="AV115" s="49">
        <f t="shared" si="750"/>
        <v>0</v>
      </c>
      <c r="AW115" s="54">
        <f t="shared" si="751"/>
        <v>0</v>
      </c>
      <c r="AX115" s="424">
        <f t="shared" si="752"/>
        <v>0</v>
      </c>
      <c r="AY115" s="265"/>
      <c r="AZ115" s="286"/>
      <c r="BA115" s="265"/>
      <c r="BB115" s="886"/>
      <c r="BD115" s="265"/>
      <c r="BE115" s="265"/>
      <c r="BF115" s="265"/>
      <c r="BG115" s="265"/>
      <c r="BH115" s="265"/>
      <c r="BI115" s="265"/>
      <c r="BJ115" s="265"/>
      <c r="BK115" s="265"/>
      <c r="BL115" s="265"/>
      <c r="BM115" s="265"/>
      <c r="BN115" s="265"/>
      <c r="BO115" s="278"/>
      <c r="BP115" s="309"/>
      <c r="BQ115" s="142">
        <f t="shared" si="753"/>
        <v>25</v>
      </c>
      <c r="BR115" s="209" t="str">
        <f t="shared" si="754"/>
        <v>Wartość prawidłowa</v>
      </c>
      <c r="BS115" s="926">
        <f t="shared" si="755"/>
        <v>45</v>
      </c>
      <c r="BT115" s="118">
        <f t="shared" si="756"/>
        <v>10</v>
      </c>
      <c r="BU115" s="118">
        <f t="shared" si="757"/>
        <v>0</v>
      </c>
      <c r="BV115" s="118">
        <f t="shared" si="758"/>
        <v>0</v>
      </c>
      <c r="BW115" s="118">
        <f t="shared" si="759"/>
        <v>70</v>
      </c>
      <c r="BX115" s="209">
        <f t="shared" si="760"/>
        <v>0</v>
      </c>
      <c r="BY115" s="927">
        <f t="shared" si="761"/>
        <v>125</v>
      </c>
      <c r="BZ115" s="928">
        <f t="shared" si="762"/>
        <v>1.8</v>
      </c>
      <c r="CA115" s="929">
        <f t="shared" si="763"/>
        <v>0.4</v>
      </c>
      <c r="CB115" s="929">
        <f t="shared" si="764"/>
        <v>0</v>
      </c>
      <c r="CC115" s="929">
        <f t="shared" si="765"/>
        <v>0</v>
      </c>
      <c r="CD115" s="929">
        <f t="shared" si="766"/>
        <v>2.8</v>
      </c>
      <c r="CE115" s="949">
        <f t="shared" si="767"/>
        <v>0</v>
      </c>
      <c r="CF115" s="963">
        <f t="shared" si="768"/>
        <v>5</v>
      </c>
      <c r="CG115" s="957">
        <f t="shared" si="769"/>
        <v>55</v>
      </c>
      <c r="CH115" s="209">
        <f t="shared" si="770"/>
        <v>10</v>
      </c>
      <c r="CI115" s="930">
        <f t="shared" si="771"/>
        <v>2.2000000000000002</v>
      </c>
      <c r="CJ115" s="998">
        <f t="shared" si="772"/>
        <v>0.4</v>
      </c>
      <c r="CK115" s="1000">
        <f>Matryca!Q115</f>
        <v>4</v>
      </c>
      <c r="CL115" s="1001">
        <f>Matryca!R115</f>
        <v>6</v>
      </c>
      <c r="CM115" s="1002">
        <f>Matryca!S115</f>
        <v>1</v>
      </c>
    </row>
    <row r="116" spans="1:91" s="44" customFormat="1" ht="32.25" customHeight="1" x14ac:dyDescent="0.25">
      <c r="A116" s="45">
        <v>93</v>
      </c>
      <c r="B116" s="47"/>
      <c r="C116" s="46" t="s">
        <v>107</v>
      </c>
      <c r="D116" s="994" t="s">
        <v>499</v>
      </c>
      <c r="E116" s="47">
        <v>5</v>
      </c>
      <c r="F116" s="46" t="s">
        <v>973</v>
      </c>
      <c r="G116" s="46" t="s">
        <v>60</v>
      </c>
      <c r="H116" s="118"/>
      <c r="I116" s="1090" t="s">
        <v>701</v>
      </c>
      <c r="J116" s="118"/>
      <c r="K116" s="118"/>
      <c r="L116" s="1089" t="s">
        <v>417</v>
      </c>
      <c r="M116" s="49">
        <f t="shared" ref="M116:M117" si="774">Y116+AV116</f>
        <v>100</v>
      </c>
      <c r="N116" s="50">
        <f t="shared" ref="N116:N117" si="775">AS116+BP116</f>
        <v>55</v>
      </c>
      <c r="O116" s="54">
        <f t="shared" ref="O116:O117" si="776">Z116+AW116</f>
        <v>45</v>
      </c>
      <c r="P116" s="424">
        <f t="shared" ref="P116:P117" si="777">AA116+AX116</f>
        <v>45</v>
      </c>
      <c r="Q116" s="52">
        <f t="shared" si="773"/>
        <v>4</v>
      </c>
      <c r="R116" s="76">
        <f t="shared" ref="R116:R117" si="778">IFERROR((AL116+BI116)*Q116/O116," ")</f>
        <v>0</v>
      </c>
      <c r="S116" s="38">
        <f t="shared" ref="S116:S117" si="779">IFERROR(IF(L116="tak",(SUM(AE116:AL116,AQ116,BB116:BI116,BN116))*Q116/O116,0),0)</f>
        <v>3.1111111111111112</v>
      </c>
      <c r="T116" s="39">
        <f t="shared" ref="T116:T117" si="780">IFERROR((AC116+AO116+AZ116+BL116)*Q116/O116," ")</f>
        <v>0.88888888888888884</v>
      </c>
      <c r="U116" s="187">
        <f t="shared" ref="U116:U117" si="781">IFERROR((SUM(AB116,AD116:AN116,AY116,BA116:BK116,AP116:AQ116,BM116:BN116)*Q116/M116)," ")</f>
        <v>1.8</v>
      </c>
      <c r="V116" s="1093" t="s">
        <v>56</v>
      </c>
      <c r="W116" s="55"/>
      <c r="X116" s="155"/>
      <c r="Y116" s="53">
        <f t="shared" ref="Y116:Y117" si="782">AS116+Z116</f>
        <v>0</v>
      </c>
      <c r="Z116" s="54">
        <f t="shared" ref="Z116:Z117" si="783">AR116+AA116</f>
        <v>0</v>
      </c>
      <c r="AA116" s="419">
        <f t="shared" ref="AA116:AA117" si="784">(SUM(AB116:AQ116))-AC116</f>
        <v>0</v>
      </c>
      <c r="AB116" s="265"/>
      <c r="AC116" s="286"/>
      <c r="AD116" s="265"/>
      <c r="AE116" s="265"/>
      <c r="AF116" s="265"/>
      <c r="AG116" s="265"/>
      <c r="AH116" s="265"/>
      <c r="AI116" s="265"/>
      <c r="AJ116" s="265"/>
      <c r="AK116" s="265"/>
      <c r="AL116" s="265"/>
      <c r="AM116" s="265"/>
      <c r="AN116" s="265"/>
      <c r="AO116" s="265"/>
      <c r="AP116" s="265"/>
      <c r="AQ116" s="265"/>
      <c r="AR116" s="278"/>
      <c r="AS116" s="279"/>
      <c r="AT116" s="55" t="s">
        <v>99</v>
      </c>
      <c r="AU116" s="155">
        <v>4</v>
      </c>
      <c r="AV116" s="49">
        <f t="shared" ref="AV116:AV117" si="785">BP116+AW116</f>
        <v>100</v>
      </c>
      <c r="AW116" s="54">
        <f t="shared" ref="AW116:AW117" si="786">BO116+AX116</f>
        <v>45</v>
      </c>
      <c r="AX116" s="424">
        <f t="shared" ref="AX116:AX117" si="787">(SUM(AY116:BN116))-AZ116</f>
        <v>45</v>
      </c>
      <c r="AY116" s="265">
        <v>10</v>
      </c>
      <c r="AZ116" s="286">
        <v>10</v>
      </c>
      <c r="BA116" s="265"/>
      <c r="BB116" s="265">
        <v>35</v>
      </c>
      <c r="BC116" s="265"/>
      <c r="BD116" s="265"/>
      <c r="BE116" s="265"/>
      <c r="BF116" s="265"/>
      <c r="BG116" s="265"/>
      <c r="BH116" s="265"/>
      <c r="BI116" s="265"/>
      <c r="BJ116" s="265"/>
      <c r="BK116" s="265"/>
      <c r="BL116" s="265"/>
      <c r="BM116" s="265"/>
      <c r="BN116" s="265"/>
      <c r="BO116" s="278"/>
      <c r="BP116" s="279">
        <v>55</v>
      </c>
      <c r="BQ116" s="142">
        <f t="shared" ref="BQ116:BQ117" si="788">IFERROR(M116/Q116," ")</f>
        <v>25</v>
      </c>
      <c r="BR116" s="209" t="str">
        <f t="shared" ref="BR116:BR117" si="789">IF(OR(BQ116&gt;30,BQ116&lt;25),"1 ECTS powinien mieścić się przedziale 25-30h","Wartość prawidłowa")</f>
        <v>Wartość prawidłowa</v>
      </c>
      <c r="BS116" s="926">
        <f t="shared" ref="BS116:BS117" si="790">SUM(AB116,AD116:AP116,AY116,BA116:BM116)-AC116-AZ116-AO116-BL116</f>
        <v>35</v>
      </c>
      <c r="BT116" s="118">
        <f t="shared" ref="BT116:BT117" si="791">AC116+AZ116</f>
        <v>10</v>
      </c>
      <c r="BU116" s="118">
        <f t="shared" ref="BU116:BU117" si="792">AO116+BL116</f>
        <v>0</v>
      </c>
      <c r="BV116" s="118">
        <f t="shared" ref="BV116:BV117" si="793">AR116+BO116</f>
        <v>0</v>
      </c>
      <c r="BW116" s="118">
        <f t="shared" ref="BW116:BW117" si="794">N116</f>
        <v>55</v>
      </c>
      <c r="BX116" s="209">
        <f t="shared" ref="BX116:BX117" si="795">AQ116+BN116</f>
        <v>0</v>
      </c>
      <c r="BY116" s="927">
        <f t="shared" ref="BY116:BY117" si="796">SUM(BS116:BX116)</f>
        <v>100</v>
      </c>
      <c r="BZ116" s="928">
        <f t="shared" ref="BZ116:BZ117" si="797">IFERROR((BS116*Q116)/BY116," ")</f>
        <v>1.4</v>
      </c>
      <c r="CA116" s="929">
        <f t="shared" ref="CA116:CA117" si="798">IFERROR((BT116*Q116)/BY116," ")</f>
        <v>0.4</v>
      </c>
      <c r="CB116" s="929">
        <f t="shared" ref="CB116:CB117" si="799">IFERROR((BU116*Q116)/BY116," ")</f>
        <v>0</v>
      </c>
      <c r="CC116" s="929">
        <f t="shared" ref="CC116:CC117" si="800">IFERROR((BV116*Q116)/BY116," ")</f>
        <v>0</v>
      </c>
      <c r="CD116" s="929">
        <f t="shared" ref="CD116:CD117" si="801">IFERROR((BW116*Q116)/BY116," ")</f>
        <v>2.2000000000000002</v>
      </c>
      <c r="CE116" s="949">
        <f t="shared" ref="CE116:CE117" si="802">IFERROR((BX116*Q116)/BY116," ")</f>
        <v>0</v>
      </c>
      <c r="CF116" s="963">
        <f t="shared" ref="CF116:CF117" si="803">IFERROR((SUM(BZ116:CE116))," ")</f>
        <v>4</v>
      </c>
      <c r="CG116" s="957">
        <f t="shared" ref="CG116:CG117" si="804">SUM(BS116:BT116,BX116)</f>
        <v>45</v>
      </c>
      <c r="CH116" s="209">
        <f t="shared" ref="CH116:CH117" si="805">SUM(BT116:BU116)</f>
        <v>10</v>
      </c>
      <c r="CI116" s="930">
        <f t="shared" ref="CI116:CI117" si="806">SUM(BZ116:CA116,CE116)</f>
        <v>1.7999999999999998</v>
      </c>
      <c r="CJ116" s="998">
        <f t="shared" ref="CJ116:CJ117" si="807">SUM(CA116:CB116)</f>
        <v>0.4</v>
      </c>
      <c r="CK116" s="1000">
        <f>Matryca!Q116</f>
        <v>2</v>
      </c>
      <c r="CL116" s="1001">
        <f>Matryca!R116</f>
        <v>5</v>
      </c>
      <c r="CM116" s="1002">
        <f>Matryca!S116</f>
        <v>1</v>
      </c>
    </row>
    <row r="117" spans="1:91" s="44" customFormat="1" ht="32.25" customHeight="1" x14ac:dyDescent="0.25">
      <c r="A117" s="45">
        <v>94</v>
      </c>
      <c r="B117" s="47"/>
      <c r="C117" s="46" t="s">
        <v>107</v>
      </c>
      <c r="D117" s="994" t="s">
        <v>499</v>
      </c>
      <c r="E117" s="47">
        <v>5</v>
      </c>
      <c r="F117" s="46" t="s">
        <v>973</v>
      </c>
      <c r="G117" s="46" t="s">
        <v>60</v>
      </c>
      <c r="H117" s="118"/>
      <c r="I117" s="1090" t="s">
        <v>489</v>
      </c>
      <c r="J117" s="118"/>
      <c r="K117" s="118"/>
      <c r="L117" s="1089" t="s">
        <v>417</v>
      </c>
      <c r="M117" s="49">
        <f t="shared" si="774"/>
        <v>150</v>
      </c>
      <c r="N117" s="50">
        <f t="shared" si="775"/>
        <v>95</v>
      </c>
      <c r="O117" s="54">
        <f t="shared" si="776"/>
        <v>55</v>
      </c>
      <c r="P117" s="424">
        <f t="shared" si="777"/>
        <v>55</v>
      </c>
      <c r="Q117" s="52">
        <f t="shared" si="773"/>
        <v>6</v>
      </c>
      <c r="R117" s="76">
        <f t="shared" si="778"/>
        <v>0</v>
      </c>
      <c r="S117" s="38">
        <f t="shared" si="779"/>
        <v>4.9090909090909092</v>
      </c>
      <c r="T117" s="39">
        <f t="shared" si="780"/>
        <v>1.0909090909090908</v>
      </c>
      <c r="U117" s="187">
        <f t="shared" si="781"/>
        <v>2.2000000000000002</v>
      </c>
      <c r="V117" s="1093" t="s">
        <v>56</v>
      </c>
      <c r="W117" s="55"/>
      <c r="X117" s="155"/>
      <c r="Y117" s="53">
        <f t="shared" si="782"/>
        <v>0</v>
      </c>
      <c r="Z117" s="54">
        <f t="shared" si="783"/>
        <v>0</v>
      </c>
      <c r="AA117" s="419">
        <f t="shared" si="784"/>
        <v>0</v>
      </c>
      <c r="AB117" s="265"/>
      <c r="AC117" s="286"/>
      <c r="AD117" s="265"/>
      <c r="AE117" s="265"/>
      <c r="AF117" s="265"/>
      <c r="AG117" s="265"/>
      <c r="AH117" s="265"/>
      <c r="AI117" s="265"/>
      <c r="AJ117" s="265"/>
      <c r="AK117" s="265"/>
      <c r="AL117" s="265"/>
      <c r="AM117" s="265"/>
      <c r="AN117" s="265"/>
      <c r="AO117" s="265"/>
      <c r="AP117" s="265"/>
      <c r="AQ117" s="265"/>
      <c r="AR117" s="278"/>
      <c r="AS117" s="279"/>
      <c r="AT117" s="45" t="s">
        <v>99</v>
      </c>
      <c r="AU117" s="155">
        <v>6</v>
      </c>
      <c r="AV117" s="49">
        <f t="shared" si="785"/>
        <v>150</v>
      </c>
      <c r="AW117" s="54">
        <f t="shared" si="786"/>
        <v>55</v>
      </c>
      <c r="AX117" s="424">
        <f t="shared" si="787"/>
        <v>55</v>
      </c>
      <c r="AY117" s="265">
        <v>10</v>
      </c>
      <c r="AZ117" s="286">
        <v>10</v>
      </c>
      <c r="BA117" s="265"/>
      <c r="BB117" s="886">
        <v>45</v>
      </c>
      <c r="BC117" s="265"/>
      <c r="BD117" s="265"/>
      <c r="BE117" s="265"/>
      <c r="BF117" s="265"/>
      <c r="BG117" s="265"/>
      <c r="BI117" s="265"/>
      <c r="BJ117" s="265"/>
      <c r="BK117" s="265"/>
      <c r="BL117" s="265"/>
      <c r="BM117" s="265"/>
      <c r="BN117" s="265"/>
      <c r="BO117" s="278"/>
      <c r="BP117" s="309">
        <v>95</v>
      </c>
      <c r="BQ117" s="142">
        <f t="shared" si="788"/>
        <v>25</v>
      </c>
      <c r="BR117" s="209" t="str">
        <f t="shared" si="789"/>
        <v>Wartość prawidłowa</v>
      </c>
      <c r="BS117" s="926">
        <f t="shared" si="790"/>
        <v>45</v>
      </c>
      <c r="BT117" s="118">
        <f t="shared" si="791"/>
        <v>10</v>
      </c>
      <c r="BU117" s="118">
        <f t="shared" si="792"/>
        <v>0</v>
      </c>
      <c r="BV117" s="118">
        <f t="shared" si="793"/>
        <v>0</v>
      </c>
      <c r="BW117" s="118">
        <f t="shared" si="794"/>
        <v>95</v>
      </c>
      <c r="BX117" s="209">
        <f t="shared" si="795"/>
        <v>0</v>
      </c>
      <c r="BY117" s="927">
        <f t="shared" si="796"/>
        <v>150</v>
      </c>
      <c r="BZ117" s="928">
        <f t="shared" si="797"/>
        <v>1.8</v>
      </c>
      <c r="CA117" s="929">
        <f t="shared" si="798"/>
        <v>0.4</v>
      </c>
      <c r="CB117" s="929">
        <f t="shared" si="799"/>
        <v>0</v>
      </c>
      <c r="CC117" s="929">
        <f t="shared" si="800"/>
        <v>0</v>
      </c>
      <c r="CD117" s="929">
        <f t="shared" si="801"/>
        <v>3.8</v>
      </c>
      <c r="CE117" s="949">
        <f t="shared" si="802"/>
        <v>0</v>
      </c>
      <c r="CF117" s="963">
        <f t="shared" si="803"/>
        <v>6</v>
      </c>
      <c r="CG117" s="957">
        <f t="shared" si="804"/>
        <v>55</v>
      </c>
      <c r="CH117" s="209">
        <f t="shared" si="805"/>
        <v>10</v>
      </c>
      <c r="CI117" s="930">
        <f t="shared" si="806"/>
        <v>2.2000000000000002</v>
      </c>
      <c r="CJ117" s="998">
        <f t="shared" si="807"/>
        <v>0.4</v>
      </c>
      <c r="CK117" s="1000">
        <f>Matryca!Q117</f>
        <v>2</v>
      </c>
      <c r="CL117" s="1001">
        <f>Matryca!R117</f>
        <v>7</v>
      </c>
      <c r="CM117" s="1002">
        <f>Matryca!S117</f>
        <v>3</v>
      </c>
    </row>
    <row r="118" spans="1:91" s="44" customFormat="1" ht="32.25" customHeight="1" x14ac:dyDescent="0.25">
      <c r="A118" s="45">
        <v>95</v>
      </c>
      <c r="B118" s="62"/>
      <c r="C118" s="61" t="s">
        <v>107</v>
      </c>
      <c r="D118" s="993" t="s">
        <v>499</v>
      </c>
      <c r="E118" s="62">
        <v>5</v>
      </c>
      <c r="F118" s="61" t="s">
        <v>973</v>
      </c>
      <c r="G118" s="61" t="s">
        <v>60</v>
      </c>
      <c r="H118" s="121"/>
      <c r="I118" s="1091" t="s">
        <v>525</v>
      </c>
      <c r="J118" s="121"/>
      <c r="K118" s="121"/>
      <c r="L118" s="1089" t="s">
        <v>417</v>
      </c>
      <c r="M118" s="65">
        <f t="shared" ref="M118" si="808">Y118+AV118</f>
        <v>125</v>
      </c>
      <c r="N118" s="66">
        <f t="shared" ref="N118" si="809">AS118+BP118</f>
        <v>75</v>
      </c>
      <c r="O118" s="72">
        <f t="shared" ref="O118" si="810">Z118+AW118</f>
        <v>50</v>
      </c>
      <c r="P118" s="425">
        <f t="shared" ref="P118" si="811">AA118+AX118</f>
        <v>50</v>
      </c>
      <c r="Q118" s="52">
        <f t="shared" si="773"/>
        <v>5</v>
      </c>
      <c r="R118" s="215">
        <f t="shared" ref="R118" si="812">IFERROR((AL118+BI118)*Q118/O118," ")</f>
        <v>0</v>
      </c>
      <c r="S118" s="38">
        <f t="shared" ref="S118" si="813">IFERROR(IF(L118="tak",(SUM(AE118:AL118,AQ118,BB118:BI118,BN118))*Q118/O118,0),0)</f>
        <v>4</v>
      </c>
      <c r="T118" s="70">
        <f t="shared" ref="T118" si="814">IFERROR((AC118+AO118+AZ118+BL118)*Q118/O118," ")</f>
        <v>1</v>
      </c>
      <c r="U118" s="324">
        <f t="shared" ref="U118" si="815">IFERROR((SUM(AB118,AD118:AN118,AY118,BA118:BK118,AP118:AQ118,BM118:BN118)*Q118/M118)," ")</f>
        <v>2</v>
      </c>
      <c r="V118" s="1094" t="s">
        <v>99</v>
      </c>
      <c r="W118" s="64"/>
      <c r="X118" s="203"/>
      <c r="Y118" s="71">
        <f t="shared" ref="Y118" si="816">AS118+Z118</f>
        <v>0</v>
      </c>
      <c r="Z118" s="72">
        <f t="shared" ref="Z118" si="817">AR118+AA118</f>
        <v>0</v>
      </c>
      <c r="AA118" s="423">
        <f t="shared" ref="AA118" si="818">(SUM(AB118:AQ118))-AC118</f>
        <v>0</v>
      </c>
      <c r="AB118" s="262"/>
      <c r="AC118" s="280"/>
      <c r="AD118" s="281"/>
      <c r="AE118" s="281"/>
      <c r="AF118" s="281"/>
      <c r="AG118" s="281"/>
      <c r="AH118" s="281"/>
      <c r="AI118" s="281"/>
      <c r="AJ118" s="281"/>
      <c r="AK118" s="281"/>
      <c r="AL118" s="281"/>
      <c r="AM118" s="281"/>
      <c r="AN118" s="281"/>
      <c r="AO118" s="281"/>
      <c r="AP118" s="281"/>
      <c r="AQ118" s="281"/>
      <c r="AR118" s="282"/>
      <c r="AS118" s="283"/>
      <c r="AT118" s="64" t="s">
        <v>99</v>
      </c>
      <c r="AU118" s="203">
        <v>5</v>
      </c>
      <c r="AV118" s="65">
        <f t="shared" ref="AV118" si="819">BP118+AW118</f>
        <v>125</v>
      </c>
      <c r="AW118" s="72">
        <f t="shared" ref="AW118" si="820">BO118+AX118</f>
        <v>50</v>
      </c>
      <c r="AX118" s="425">
        <f t="shared" ref="AX118" si="821">(SUM(AY118:BN118))-AZ118</f>
        <v>50</v>
      </c>
      <c r="AY118" s="281">
        <v>10</v>
      </c>
      <c r="AZ118" s="280">
        <v>10</v>
      </c>
      <c r="BA118" s="281"/>
      <c r="BB118" s="888">
        <v>40</v>
      </c>
      <c r="BD118" s="281"/>
      <c r="BE118" s="281"/>
      <c r="BF118" s="281"/>
      <c r="BG118" s="281"/>
      <c r="BH118" s="281"/>
      <c r="BI118" s="281"/>
      <c r="BJ118" s="281"/>
      <c r="BK118" s="281"/>
      <c r="BL118" s="281"/>
      <c r="BM118" s="281"/>
      <c r="BN118" s="281"/>
      <c r="BO118" s="282"/>
      <c r="BP118" s="283">
        <v>75</v>
      </c>
      <c r="BQ118" s="217">
        <f t="shared" ref="BQ118" si="822">IFERROR(M118/Q118," ")</f>
        <v>25</v>
      </c>
      <c r="BR118" s="210" t="str">
        <f t="shared" ref="BR118" si="823">IF(OR(BQ118&gt;30,BQ118&lt;25),"1 ECTS powinien mieścić się przedziale 25-30h","Wartość prawidłowa")</f>
        <v>Wartość prawidłowa</v>
      </c>
      <c r="BS118" s="926">
        <f t="shared" ref="BS118" si="824">SUM(AB118,AD118:AP118,AY118,BA118:BM118)-AC118-AZ118-AO118-BL118</f>
        <v>40</v>
      </c>
      <c r="BT118" s="118">
        <f t="shared" ref="BT118" si="825">AC118+AZ118</f>
        <v>10</v>
      </c>
      <c r="BU118" s="118">
        <f t="shared" ref="BU118" si="826">AO118+BL118</f>
        <v>0</v>
      </c>
      <c r="BV118" s="118">
        <f t="shared" ref="BV118" si="827">AR118+BO118</f>
        <v>0</v>
      </c>
      <c r="BW118" s="118">
        <f t="shared" ref="BW118" si="828">N118</f>
        <v>75</v>
      </c>
      <c r="BX118" s="209">
        <f t="shared" ref="BX118" si="829">AQ118+BN118</f>
        <v>0</v>
      </c>
      <c r="BY118" s="927">
        <f t="shared" ref="BY118" si="830">SUM(BS118:BX118)</f>
        <v>125</v>
      </c>
      <c r="BZ118" s="928">
        <f t="shared" ref="BZ118" si="831">IFERROR((BS118*Q118)/BY118," ")</f>
        <v>1.6</v>
      </c>
      <c r="CA118" s="929">
        <f t="shared" ref="CA118" si="832">IFERROR((BT118*Q118)/BY118," ")</f>
        <v>0.4</v>
      </c>
      <c r="CB118" s="929">
        <f t="shared" ref="CB118" si="833">IFERROR((BU118*Q118)/BY118," ")</f>
        <v>0</v>
      </c>
      <c r="CC118" s="929">
        <f t="shared" ref="CC118" si="834">IFERROR((BV118*Q118)/BY118," ")</f>
        <v>0</v>
      </c>
      <c r="CD118" s="929">
        <f t="shared" ref="CD118" si="835">IFERROR((BW118*Q118)/BY118," ")</f>
        <v>3</v>
      </c>
      <c r="CE118" s="949">
        <f t="shared" ref="CE118" si="836">IFERROR((BX118*Q118)/BY118," ")</f>
        <v>0</v>
      </c>
      <c r="CF118" s="963">
        <f t="shared" ref="CF118" si="837">IFERROR((SUM(BZ118:CE118))," ")</f>
        <v>5</v>
      </c>
      <c r="CG118" s="957">
        <f t="shared" ref="CG118" si="838">SUM(BS118:BT118,BX118)</f>
        <v>50</v>
      </c>
      <c r="CH118" s="209">
        <f t="shared" ref="CH118" si="839">SUM(BT118:BU118)</f>
        <v>10</v>
      </c>
      <c r="CI118" s="930">
        <f t="shared" ref="CI118" si="840">SUM(BZ118:CA118,CE118)</f>
        <v>2</v>
      </c>
      <c r="CJ118" s="998">
        <f t="shared" ref="CJ118" si="841">SUM(CA118:CB118)</f>
        <v>0.4</v>
      </c>
      <c r="CK118" s="1000">
        <f>Matryca!Q118</f>
        <v>2</v>
      </c>
      <c r="CL118" s="1001">
        <f>Matryca!R118</f>
        <v>4</v>
      </c>
      <c r="CM118" s="1002">
        <f>Matryca!S118</f>
        <v>1</v>
      </c>
    </row>
    <row r="119" spans="1:91" s="44" customFormat="1" ht="32.25" customHeight="1" x14ac:dyDescent="0.25">
      <c r="A119" s="45">
        <v>96</v>
      </c>
      <c r="B119" s="47"/>
      <c r="C119" s="61" t="s">
        <v>107</v>
      </c>
      <c r="D119" s="993" t="s">
        <v>499</v>
      </c>
      <c r="E119" s="62">
        <v>5</v>
      </c>
      <c r="F119" s="61" t="s">
        <v>973</v>
      </c>
      <c r="G119" s="61" t="s">
        <v>60</v>
      </c>
      <c r="H119" s="63"/>
      <c r="I119" s="1091" t="s">
        <v>487</v>
      </c>
      <c r="J119" s="121"/>
      <c r="K119" s="121"/>
      <c r="L119" s="1089" t="s">
        <v>417</v>
      </c>
      <c r="M119" s="49">
        <f t="shared" ref="M119:M120" si="842">Y119+AV119</f>
        <v>150</v>
      </c>
      <c r="N119" s="50">
        <f t="shared" ref="N119:N120" si="843">AS119+BP119</f>
        <v>80</v>
      </c>
      <c r="O119" s="54">
        <f t="shared" ref="O119:O120" si="844">Z119+AW119</f>
        <v>70</v>
      </c>
      <c r="P119" s="424">
        <f t="shared" ref="P119:P120" si="845">AA119+AX119</f>
        <v>70</v>
      </c>
      <c r="Q119" s="52">
        <f t="shared" si="773"/>
        <v>6</v>
      </c>
      <c r="R119" s="76">
        <f t="shared" ref="R119:R120" si="846">IFERROR((AL119+BI119)*Q119/O119," ")</f>
        <v>0</v>
      </c>
      <c r="S119" s="38">
        <f t="shared" ref="S119:S120" si="847">IFERROR(IF(L119="tak",(SUM(AE119:AL119,AQ119,BB119:BI119,BN119))*Q119/O119,0),0)</f>
        <v>5.1428571428571432</v>
      </c>
      <c r="T119" s="39">
        <f t="shared" ref="T119:T120" si="848">IFERROR((AC119+AO119+AZ119+BL119)*Q119/O119," ")</f>
        <v>0.8571428571428571</v>
      </c>
      <c r="U119" s="187">
        <f t="shared" ref="U119:U120" si="849">IFERROR((SUM(AB119,AD119:AN119,AY119,BA119:BK119,AP119:AQ119,BM119:BN119)*Q119/M119)," ")</f>
        <v>2.8</v>
      </c>
      <c r="V119" s="1093" t="s">
        <v>56</v>
      </c>
      <c r="W119" s="55" t="s">
        <v>99</v>
      </c>
      <c r="X119" s="155">
        <v>6</v>
      </c>
      <c r="Y119" s="53">
        <f t="shared" ref="Y119:Y120" si="850">AS119+Z119</f>
        <v>150</v>
      </c>
      <c r="Z119" s="54">
        <f t="shared" ref="Z119:Z120" si="851">AR119+AA119</f>
        <v>70</v>
      </c>
      <c r="AA119" s="419">
        <f t="shared" ref="AA119:AA120" si="852">(SUM(AB119:AQ119))-AC119</f>
        <v>70</v>
      </c>
      <c r="AB119" s="265">
        <v>10</v>
      </c>
      <c r="AC119" s="286">
        <v>10</v>
      </c>
      <c r="AD119" s="265"/>
      <c r="AE119" s="265">
        <v>10</v>
      </c>
      <c r="AF119" s="265"/>
      <c r="AG119" s="265"/>
      <c r="AH119" s="265"/>
      <c r="AI119" s="265"/>
      <c r="AJ119" s="265"/>
      <c r="AK119" s="265">
        <v>50</v>
      </c>
      <c r="AL119" s="265"/>
      <c r="AM119" s="265"/>
      <c r="AN119" s="265"/>
      <c r="AO119" s="265"/>
      <c r="AP119" s="265"/>
      <c r="AQ119" s="265"/>
      <c r="AR119" s="278"/>
      <c r="AS119" s="279">
        <v>80</v>
      </c>
      <c r="AT119" s="45"/>
      <c r="AU119" s="155"/>
      <c r="AV119" s="49">
        <f t="shared" ref="AV119:AV120" si="853">BP119+AW119</f>
        <v>0</v>
      </c>
      <c r="AW119" s="54">
        <f t="shared" ref="AW119:AW120" si="854">BO119+AX119</f>
        <v>0</v>
      </c>
      <c r="AX119" s="424">
        <f t="shared" ref="AX119:AX120" si="855">(SUM(AY119:BN119))-AZ119</f>
        <v>0</v>
      </c>
      <c r="AY119" s="265"/>
      <c r="AZ119" s="286"/>
      <c r="BA119" s="265"/>
      <c r="BB119" s="265"/>
      <c r="BC119" s="265"/>
      <c r="BD119" s="265"/>
      <c r="BE119" s="265"/>
      <c r="BF119" s="265"/>
      <c r="BG119" s="265"/>
      <c r="BH119" s="265"/>
      <c r="BI119" s="265"/>
      <c r="BJ119" s="265"/>
      <c r="BK119" s="265"/>
      <c r="BL119" s="265"/>
      <c r="BM119" s="265"/>
      <c r="BN119" s="265"/>
      <c r="BO119" s="278"/>
      <c r="BP119" s="309"/>
      <c r="BQ119" s="142">
        <f t="shared" ref="BQ119:BQ120" si="856">IFERROR(M119/Q119," ")</f>
        <v>25</v>
      </c>
      <c r="BR119" s="209" t="str">
        <f t="shared" ref="BR119:BR120" si="857">IF(OR(BQ119&gt;30,BQ119&lt;25),"1 ECTS powinien mieścić się przedziale 25-30h","Wartość prawidłowa")</f>
        <v>Wartość prawidłowa</v>
      </c>
      <c r="BS119" s="926">
        <f t="shared" ref="BS119:BS120" si="858">SUM(AB119,AD119:AP119,AY119,BA119:BM119)-AC119-AZ119-AO119-BL119</f>
        <v>60</v>
      </c>
      <c r="BT119" s="118">
        <f t="shared" ref="BT119:BT120" si="859">AC119+AZ119</f>
        <v>10</v>
      </c>
      <c r="BU119" s="118">
        <f t="shared" ref="BU119:BU120" si="860">AO119+BL119</f>
        <v>0</v>
      </c>
      <c r="BV119" s="118">
        <f t="shared" ref="BV119:BV120" si="861">AR119+BO119</f>
        <v>0</v>
      </c>
      <c r="BW119" s="118">
        <f t="shared" ref="BW119:BW120" si="862">N119</f>
        <v>80</v>
      </c>
      <c r="BX119" s="209">
        <f t="shared" ref="BX119:BX120" si="863">AQ119+BN119</f>
        <v>0</v>
      </c>
      <c r="BY119" s="927">
        <f t="shared" ref="BY119:BY120" si="864">SUM(BS119:BX119)</f>
        <v>150</v>
      </c>
      <c r="BZ119" s="928">
        <f t="shared" ref="BZ119:BZ120" si="865">IFERROR((BS119*Q119)/BY119," ")</f>
        <v>2.4</v>
      </c>
      <c r="CA119" s="929">
        <f t="shared" ref="CA119:CA120" si="866">IFERROR((BT119*Q119)/BY119," ")</f>
        <v>0.4</v>
      </c>
      <c r="CB119" s="929">
        <f t="shared" ref="CB119:CB120" si="867">IFERROR((BU119*Q119)/BY119," ")</f>
        <v>0</v>
      </c>
      <c r="CC119" s="929">
        <f t="shared" ref="CC119:CC120" si="868">IFERROR((BV119*Q119)/BY119," ")</f>
        <v>0</v>
      </c>
      <c r="CD119" s="929">
        <f t="shared" ref="CD119:CD120" si="869">IFERROR((BW119*Q119)/BY119," ")</f>
        <v>3.2</v>
      </c>
      <c r="CE119" s="949">
        <f t="shared" ref="CE119:CE120" si="870">IFERROR((BX119*Q119)/BY119," ")</f>
        <v>0</v>
      </c>
      <c r="CF119" s="963">
        <f t="shared" ref="CF119:CF120" si="871">IFERROR((SUM(BZ119:CE119))," ")</f>
        <v>6</v>
      </c>
      <c r="CG119" s="957">
        <f t="shared" ref="CG119:CG120" si="872">SUM(BS119:BT119,BX119)</f>
        <v>70</v>
      </c>
      <c r="CH119" s="209">
        <f t="shared" ref="CH119:CH120" si="873">SUM(BT119:BU119)</f>
        <v>10</v>
      </c>
      <c r="CI119" s="930">
        <f t="shared" ref="CI119:CI120" si="874">SUM(BZ119:CA119,CE119)</f>
        <v>2.8</v>
      </c>
      <c r="CJ119" s="998">
        <f t="shared" ref="CJ119:CJ120" si="875">SUM(CA119:CB119)</f>
        <v>0.4</v>
      </c>
      <c r="CK119" s="1000">
        <f>Matryca!Q119</f>
        <v>2</v>
      </c>
      <c r="CL119" s="1001">
        <f>Matryca!R119</f>
        <v>6</v>
      </c>
      <c r="CM119" s="1002">
        <f>Matryca!S119</f>
        <v>4</v>
      </c>
    </row>
    <row r="120" spans="1:91" s="44" customFormat="1" ht="30" customHeight="1" x14ac:dyDescent="0.25">
      <c r="A120" s="45">
        <v>97</v>
      </c>
      <c r="B120" s="47"/>
      <c r="C120" s="46" t="s">
        <v>107</v>
      </c>
      <c r="D120" s="994" t="s">
        <v>499</v>
      </c>
      <c r="E120" s="47">
        <v>5</v>
      </c>
      <c r="F120" s="46" t="s">
        <v>973</v>
      </c>
      <c r="G120" s="46" t="s">
        <v>60</v>
      </c>
      <c r="H120" s="48"/>
      <c r="I120" s="1090" t="s">
        <v>531</v>
      </c>
      <c r="J120" s="118"/>
      <c r="K120" s="118"/>
      <c r="L120" s="1089" t="s">
        <v>417</v>
      </c>
      <c r="M120" s="49">
        <f t="shared" si="842"/>
        <v>150</v>
      </c>
      <c r="N120" s="50">
        <f t="shared" si="843"/>
        <v>80</v>
      </c>
      <c r="O120" s="54">
        <f t="shared" si="844"/>
        <v>70</v>
      </c>
      <c r="P120" s="424">
        <f t="shared" si="845"/>
        <v>70</v>
      </c>
      <c r="Q120" s="52">
        <f t="shared" si="773"/>
        <v>6</v>
      </c>
      <c r="R120" s="76">
        <f t="shared" si="846"/>
        <v>0</v>
      </c>
      <c r="S120" s="38">
        <f t="shared" si="847"/>
        <v>5.1428571428571432</v>
      </c>
      <c r="T120" s="39">
        <f t="shared" si="848"/>
        <v>0.8571428571428571</v>
      </c>
      <c r="U120" s="187">
        <f t="shared" si="849"/>
        <v>2.8</v>
      </c>
      <c r="V120" s="1093" t="s">
        <v>56</v>
      </c>
      <c r="W120" s="55"/>
      <c r="X120" s="155"/>
      <c r="Y120" s="53">
        <f t="shared" si="850"/>
        <v>0</v>
      </c>
      <c r="Z120" s="54">
        <f t="shared" si="851"/>
        <v>0</v>
      </c>
      <c r="AA120" s="419">
        <f t="shared" si="852"/>
        <v>0</v>
      </c>
      <c r="AB120" s="265"/>
      <c r="AC120" s="286"/>
      <c r="AD120" s="265"/>
      <c r="AE120" s="265"/>
      <c r="AF120" s="265"/>
      <c r="AG120" s="265"/>
      <c r="AH120" s="265"/>
      <c r="AI120" s="265"/>
      <c r="AJ120" s="265"/>
      <c r="AK120" s="265"/>
      <c r="AL120" s="265"/>
      <c r="AM120" s="265"/>
      <c r="AN120" s="265"/>
      <c r="AO120" s="265"/>
      <c r="AP120" s="265"/>
      <c r="AQ120" s="265"/>
      <c r="AR120" s="278"/>
      <c r="AS120" s="279"/>
      <c r="AT120" s="45" t="s">
        <v>99</v>
      </c>
      <c r="AU120" s="155">
        <v>6</v>
      </c>
      <c r="AV120" s="49">
        <f t="shared" si="853"/>
        <v>150</v>
      </c>
      <c r="AW120" s="54">
        <f t="shared" si="854"/>
        <v>70</v>
      </c>
      <c r="AX120" s="424">
        <f t="shared" si="855"/>
        <v>70</v>
      </c>
      <c r="AY120" s="265">
        <v>10</v>
      </c>
      <c r="AZ120" s="286">
        <v>10</v>
      </c>
      <c r="BA120" s="265"/>
      <c r="BB120" s="886">
        <v>60</v>
      </c>
      <c r="BC120" s="46"/>
      <c r="BD120" s="265"/>
      <c r="BE120" s="265"/>
      <c r="BF120" s="265"/>
      <c r="BG120" s="265"/>
      <c r="BH120" s="265"/>
      <c r="BI120" s="265"/>
      <c r="BJ120" s="265"/>
      <c r="BK120" s="265"/>
      <c r="BL120" s="265"/>
      <c r="BM120" s="265"/>
      <c r="BN120" s="265"/>
      <c r="BO120" s="278"/>
      <c r="BP120" s="309">
        <v>80</v>
      </c>
      <c r="BQ120" s="142">
        <f t="shared" si="856"/>
        <v>25</v>
      </c>
      <c r="BR120" s="209" t="str">
        <f t="shared" si="857"/>
        <v>Wartość prawidłowa</v>
      </c>
      <c r="BS120" s="926">
        <f t="shared" si="858"/>
        <v>60</v>
      </c>
      <c r="BT120" s="118">
        <f t="shared" si="859"/>
        <v>10</v>
      </c>
      <c r="BU120" s="118">
        <f t="shared" si="860"/>
        <v>0</v>
      </c>
      <c r="BV120" s="118">
        <f t="shared" si="861"/>
        <v>0</v>
      </c>
      <c r="BW120" s="118">
        <f t="shared" si="862"/>
        <v>80</v>
      </c>
      <c r="BX120" s="209">
        <f t="shared" si="863"/>
        <v>0</v>
      </c>
      <c r="BY120" s="927">
        <f t="shared" si="864"/>
        <v>150</v>
      </c>
      <c r="BZ120" s="928">
        <f t="shared" si="865"/>
        <v>2.4</v>
      </c>
      <c r="CA120" s="929">
        <f t="shared" si="866"/>
        <v>0.4</v>
      </c>
      <c r="CB120" s="929">
        <f t="shared" si="867"/>
        <v>0</v>
      </c>
      <c r="CC120" s="929">
        <f t="shared" si="868"/>
        <v>0</v>
      </c>
      <c r="CD120" s="929">
        <f t="shared" si="869"/>
        <v>3.2</v>
      </c>
      <c r="CE120" s="949">
        <f t="shared" si="870"/>
        <v>0</v>
      </c>
      <c r="CF120" s="963">
        <f t="shared" si="871"/>
        <v>6</v>
      </c>
      <c r="CG120" s="957">
        <f t="shared" si="872"/>
        <v>70</v>
      </c>
      <c r="CH120" s="209">
        <f t="shared" si="873"/>
        <v>10</v>
      </c>
      <c r="CI120" s="930">
        <f t="shared" si="874"/>
        <v>2.8</v>
      </c>
      <c r="CJ120" s="998">
        <f t="shared" si="875"/>
        <v>0.4</v>
      </c>
      <c r="CK120" s="1000">
        <f>Matryca!Q120</f>
        <v>4</v>
      </c>
      <c r="CL120" s="1001">
        <f>Matryca!R120</f>
        <v>7</v>
      </c>
      <c r="CM120" s="1002">
        <f>Matryca!S120</f>
        <v>2</v>
      </c>
    </row>
    <row r="121" spans="1:91" s="44" customFormat="1" ht="51.75" customHeight="1" thickBot="1" x14ac:dyDescent="0.3">
      <c r="A121" s="45">
        <v>98</v>
      </c>
      <c r="B121" s="47"/>
      <c r="C121" s="46" t="s">
        <v>107</v>
      </c>
      <c r="D121" s="994" t="s">
        <v>499</v>
      </c>
      <c r="E121" s="47">
        <v>5</v>
      </c>
      <c r="F121" s="46" t="s">
        <v>973</v>
      </c>
      <c r="G121" s="46" t="s">
        <v>60</v>
      </c>
      <c r="H121" s="48"/>
      <c r="I121" s="1116" t="s">
        <v>945</v>
      </c>
      <c r="J121" s="118"/>
      <c r="K121" s="118"/>
      <c r="L121" s="1089" t="s">
        <v>417</v>
      </c>
      <c r="M121" s="49">
        <f t="shared" si="669"/>
        <v>150</v>
      </c>
      <c r="N121" s="50">
        <f t="shared" si="670"/>
        <v>75</v>
      </c>
      <c r="O121" s="54">
        <f t="shared" si="671"/>
        <v>75</v>
      </c>
      <c r="P121" s="424">
        <f t="shared" si="672"/>
        <v>75</v>
      </c>
      <c r="Q121" s="52">
        <f t="shared" si="773"/>
        <v>6</v>
      </c>
      <c r="R121" s="76">
        <f t="shared" si="674"/>
        <v>0</v>
      </c>
      <c r="S121" s="76">
        <f t="shared" si="675"/>
        <v>4.8</v>
      </c>
      <c r="T121" s="39">
        <f t="shared" si="676"/>
        <v>1.2</v>
      </c>
      <c r="U121" s="187">
        <f t="shared" si="677"/>
        <v>3</v>
      </c>
      <c r="V121" s="1093" t="s">
        <v>56</v>
      </c>
      <c r="W121" s="55" t="s">
        <v>99</v>
      </c>
      <c r="X121" s="155">
        <v>6</v>
      </c>
      <c r="Y121" s="53">
        <f t="shared" si="678"/>
        <v>150</v>
      </c>
      <c r="Z121" s="54">
        <f t="shared" si="679"/>
        <v>75</v>
      </c>
      <c r="AA121" s="419">
        <f t="shared" si="680"/>
        <v>75</v>
      </c>
      <c r="AB121" s="266">
        <v>15</v>
      </c>
      <c r="AC121" s="440">
        <v>15</v>
      </c>
      <c r="AD121" s="266"/>
      <c r="AE121" s="266">
        <v>60</v>
      </c>
      <c r="AF121" s="266"/>
      <c r="AG121" s="266"/>
      <c r="AH121" s="266"/>
      <c r="AI121" s="266"/>
      <c r="AJ121" s="266"/>
      <c r="AK121" s="266"/>
      <c r="AL121" s="266"/>
      <c r="AM121" s="266"/>
      <c r="AN121" s="266"/>
      <c r="AO121" s="266"/>
      <c r="AP121" s="266"/>
      <c r="AQ121" s="266"/>
      <c r="AR121" s="275"/>
      <c r="AS121" s="276">
        <v>75</v>
      </c>
      <c r="AT121" s="30"/>
      <c r="AU121" s="154"/>
      <c r="AV121" s="49">
        <f t="shared" si="681"/>
        <v>0</v>
      </c>
      <c r="AW121" s="54">
        <f t="shared" si="682"/>
        <v>0</v>
      </c>
      <c r="AX121" s="424">
        <f t="shared" si="683"/>
        <v>0</v>
      </c>
      <c r="AY121" s="266"/>
      <c r="AZ121" s="440"/>
      <c r="BA121" s="266"/>
      <c r="BB121" s="889"/>
      <c r="BD121" s="266"/>
      <c r="BE121" s="266"/>
      <c r="BF121" s="266"/>
      <c r="BG121" s="266"/>
      <c r="BH121" s="266"/>
      <c r="BI121" s="266"/>
      <c r="BJ121" s="266"/>
      <c r="BK121" s="266"/>
      <c r="BL121" s="266"/>
      <c r="BM121" s="266"/>
      <c r="BN121" s="266"/>
      <c r="BO121" s="275"/>
      <c r="BP121" s="441"/>
      <c r="BQ121" s="142">
        <f t="shared" si="684"/>
        <v>25</v>
      </c>
      <c r="BR121" s="211" t="str">
        <f t="shared" si="685"/>
        <v>Wartość prawidłowa</v>
      </c>
      <c r="BS121" s="926">
        <f t="shared" si="417"/>
        <v>60</v>
      </c>
      <c r="BT121" s="118">
        <f t="shared" si="418"/>
        <v>15</v>
      </c>
      <c r="BU121" s="118">
        <f t="shared" si="419"/>
        <v>0</v>
      </c>
      <c r="BV121" s="118">
        <f t="shared" si="420"/>
        <v>0</v>
      </c>
      <c r="BW121" s="118">
        <f t="shared" si="421"/>
        <v>75</v>
      </c>
      <c r="BX121" s="209">
        <f t="shared" si="422"/>
        <v>0</v>
      </c>
      <c r="BY121" s="927">
        <f t="shared" si="423"/>
        <v>150</v>
      </c>
      <c r="BZ121" s="928">
        <f t="shared" si="424"/>
        <v>2.4</v>
      </c>
      <c r="CA121" s="929">
        <f t="shared" si="425"/>
        <v>0.6</v>
      </c>
      <c r="CB121" s="929">
        <f t="shared" si="426"/>
        <v>0</v>
      </c>
      <c r="CC121" s="929">
        <f t="shared" si="427"/>
        <v>0</v>
      </c>
      <c r="CD121" s="929">
        <f t="shared" si="428"/>
        <v>3</v>
      </c>
      <c r="CE121" s="949">
        <f t="shared" si="429"/>
        <v>0</v>
      </c>
      <c r="CF121" s="963">
        <f t="shared" si="430"/>
        <v>6</v>
      </c>
      <c r="CG121" s="957">
        <f t="shared" si="686"/>
        <v>75</v>
      </c>
      <c r="CH121" s="209">
        <f t="shared" si="687"/>
        <v>15</v>
      </c>
      <c r="CI121" s="930">
        <f t="shared" si="688"/>
        <v>3</v>
      </c>
      <c r="CJ121" s="998">
        <f t="shared" si="689"/>
        <v>0.6</v>
      </c>
      <c r="CK121" s="1000">
        <f>Matryca!Q121</f>
        <v>2</v>
      </c>
      <c r="CL121" s="1001">
        <f>Matryca!R121</f>
        <v>3</v>
      </c>
      <c r="CM121" s="1002">
        <f>Matryca!S121</f>
        <v>4</v>
      </c>
    </row>
    <row r="122" spans="1:91" s="44" customFormat="1" ht="32.25" customHeight="1" thickBot="1" x14ac:dyDescent="0.3">
      <c r="A122" s="334"/>
      <c r="B122" s="335"/>
      <c r="C122" s="336"/>
      <c r="D122" s="336"/>
      <c r="E122" s="335"/>
      <c r="F122" s="336"/>
      <c r="G122" s="336"/>
      <c r="H122" s="337"/>
      <c r="I122" s="338" t="s">
        <v>471</v>
      </c>
      <c r="J122" s="339">
        <f>COUNTIF(J105:J121,"tak")</f>
        <v>0</v>
      </c>
      <c r="K122" s="339">
        <f>COUNTIF(K105:K121,"tak")</f>
        <v>0</v>
      </c>
      <c r="L122" s="339">
        <f>COUNTIF(L105:L121,"tak")</f>
        <v>15</v>
      </c>
      <c r="M122" s="340">
        <f t="shared" ref="M122:AR122" si="876">SUM(M105:M121)</f>
        <v>2325</v>
      </c>
      <c r="N122" s="340">
        <f t="shared" si="876"/>
        <v>1315</v>
      </c>
      <c r="O122" s="340">
        <f t="shared" si="876"/>
        <v>1010</v>
      </c>
      <c r="P122" s="340">
        <f t="shared" si="876"/>
        <v>1010</v>
      </c>
      <c r="Q122" s="340">
        <f t="shared" si="876"/>
        <v>93</v>
      </c>
      <c r="R122" s="340">
        <f t="shared" si="876"/>
        <v>0</v>
      </c>
      <c r="S122" s="970">
        <f t="shared" si="876"/>
        <v>67.362770562770578</v>
      </c>
      <c r="T122" s="970">
        <f t="shared" si="876"/>
        <v>13.637229437229436</v>
      </c>
      <c r="U122" s="970">
        <f t="shared" si="876"/>
        <v>40.399999999999991</v>
      </c>
      <c r="V122" s="340">
        <f t="shared" si="876"/>
        <v>0</v>
      </c>
      <c r="W122" s="340">
        <f t="shared" si="876"/>
        <v>0</v>
      </c>
      <c r="X122" s="340">
        <f t="shared" si="876"/>
        <v>45</v>
      </c>
      <c r="Y122" s="340">
        <f t="shared" si="876"/>
        <v>1125</v>
      </c>
      <c r="Z122" s="340">
        <f t="shared" si="876"/>
        <v>490</v>
      </c>
      <c r="AA122" s="340">
        <f t="shared" si="876"/>
        <v>490</v>
      </c>
      <c r="AB122" s="340">
        <f t="shared" si="876"/>
        <v>75</v>
      </c>
      <c r="AC122" s="340">
        <f t="shared" si="876"/>
        <v>75</v>
      </c>
      <c r="AD122" s="340">
        <f t="shared" si="876"/>
        <v>40</v>
      </c>
      <c r="AE122" s="340">
        <f t="shared" si="876"/>
        <v>325</v>
      </c>
      <c r="AF122" s="340">
        <f t="shared" si="876"/>
        <v>0</v>
      </c>
      <c r="AG122" s="340">
        <f t="shared" si="876"/>
        <v>0</v>
      </c>
      <c r="AH122" s="340">
        <f t="shared" si="876"/>
        <v>0</v>
      </c>
      <c r="AI122" s="340">
        <f t="shared" si="876"/>
        <v>0</v>
      </c>
      <c r="AJ122" s="340">
        <f t="shared" si="876"/>
        <v>0</v>
      </c>
      <c r="AK122" s="340">
        <f t="shared" si="876"/>
        <v>50</v>
      </c>
      <c r="AL122" s="340">
        <f t="shared" si="876"/>
        <v>0</v>
      </c>
      <c r="AM122" s="340">
        <f t="shared" si="876"/>
        <v>0</v>
      </c>
      <c r="AN122" s="340">
        <f t="shared" si="876"/>
        <v>0</v>
      </c>
      <c r="AO122" s="340">
        <f t="shared" si="876"/>
        <v>0</v>
      </c>
      <c r="AP122" s="340">
        <f t="shared" si="876"/>
        <v>0</v>
      </c>
      <c r="AQ122" s="340">
        <f t="shared" si="876"/>
        <v>0</v>
      </c>
      <c r="AR122" s="340">
        <f t="shared" si="876"/>
        <v>0</v>
      </c>
      <c r="AS122" s="340">
        <f t="shared" ref="AS122:BP122" si="877">SUM(AS105:AS121)</f>
        <v>635</v>
      </c>
      <c r="AT122" s="340">
        <f t="shared" si="877"/>
        <v>0</v>
      </c>
      <c r="AU122" s="340">
        <f t="shared" si="877"/>
        <v>48</v>
      </c>
      <c r="AV122" s="340">
        <f t="shared" si="877"/>
        <v>1200</v>
      </c>
      <c r="AW122" s="340">
        <f t="shared" si="877"/>
        <v>520</v>
      </c>
      <c r="AX122" s="340">
        <f t="shared" si="877"/>
        <v>520</v>
      </c>
      <c r="AY122" s="340">
        <f t="shared" si="877"/>
        <v>80</v>
      </c>
      <c r="AZ122" s="340">
        <f t="shared" si="877"/>
        <v>80</v>
      </c>
      <c r="BA122" s="340">
        <f t="shared" si="877"/>
        <v>40</v>
      </c>
      <c r="BB122" s="340">
        <f t="shared" si="877"/>
        <v>360</v>
      </c>
      <c r="BC122" s="340">
        <f t="shared" si="877"/>
        <v>0</v>
      </c>
      <c r="BD122" s="340">
        <f t="shared" si="877"/>
        <v>0</v>
      </c>
      <c r="BE122" s="340">
        <f t="shared" si="877"/>
        <v>0</v>
      </c>
      <c r="BF122" s="340">
        <f t="shared" si="877"/>
        <v>0</v>
      </c>
      <c r="BG122" s="340">
        <f t="shared" si="877"/>
        <v>0</v>
      </c>
      <c r="BH122" s="340">
        <f t="shared" si="877"/>
        <v>40</v>
      </c>
      <c r="BI122" s="340">
        <f t="shared" si="877"/>
        <v>0</v>
      </c>
      <c r="BJ122" s="340">
        <f t="shared" si="877"/>
        <v>0</v>
      </c>
      <c r="BK122" s="340">
        <f t="shared" si="877"/>
        <v>0</v>
      </c>
      <c r="BL122" s="340">
        <f t="shared" si="877"/>
        <v>0</v>
      </c>
      <c r="BM122" s="340">
        <f t="shared" si="877"/>
        <v>0</v>
      </c>
      <c r="BN122" s="340">
        <f t="shared" si="877"/>
        <v>0</v>
      </c>
      <c r="BO122" s="340">
        <f t="shared" si="877"/>
        <v>0</v>
      </c>
      <c r="BP122" s="340">
        <f t="shared" si="877"/>
        <v>680</v>
      </c>
      <c r="BQ122" s="341"/>
      <c r="BR122" s="342"/>
      <c r="BS122" s="340">
        <f t="shared" ref="BS122:CJ122" si="878">SUM(BS105:BS121)</f>
        <v>855</v>
      </c>
      <c r="BT122" s="340">
        <f t="shared" si="878"/>
        <v>155</v>
      </c>
      <c r="BU122" s="340">
        <f t="shared" si="878"/>
        <v>0</v>
      </c>
      <c r="BV122" s="340">
        <f t="shared" si="878"/>
        <v>0</v>
      </c>
      <c r="BW122" s="340">
        <f t="shared" si="878"/>
        <v>1315</v>
      </c>
      <c r="BX122" s="938">
        <f t="shared" si="878"/>
        <v>0</v>
      </c>
      <c r="BY122" s="946">
        <f t="shared" si="878"/>
        <v>2325</v>
      </c>
      <c r="BZ122" s="944">
        <f t="shared" si="878"/>
        <v>34.200000000000003</v>
      </c>
      <c r="CA122" s="935">
        <f t="shared" si="878"/>
        <v>6.2</v>
      </c>
      <c r="CB122" s="935">
        <f t="shared" si="878"/>
        <v>0</v>
      </c>
      <c r="CC122" s="935">
        <f t="shared" si="878"/>
        <v>0</v>
      </c>
      <c r="CD122" s="935">
        <f t="shared" si="878"/>
        <v>52.600000000000009</v>
      </c>
      <c r="CE122" s="954">
        <f t="shared" si="878"/>
        <v>0</v>
      </c>
      <c r="CF122" s="968">
        <f t="shared" si="878"/>
        <v>93</v>
      </c>
      <c r="CG122" s="960">
        <f t="shared" si="878"/>
        <v>1010</v>
      </c>
      <c r="CH122" s="938">
        <f t="shared" si="878"/>
        <v>155</v>
      </c>
      <c r="CI122" s="940">
        <f t="shared" si="878"/>
        <v>40.399999999999991</v>
      </c>
      <c r="CJ122" s="938">
        <f t="shared" si="878"/>
        <v>6.2</v>
      </c>
      <c r="CK122" s="1007">
        <f>Matryca!Q122</f>
        <v>49</v>
      </c>
      <c r="CL122" s="938">
        <f>Matryca!R122</f>
        <v>95</v>
      </c>
      <c r="CM122" s="941">
        <f>Matryca!S122</f>
        <v>32</v>
      </c>
    </row>
    <row r="123" spans="1:91" s="156" customFormat="1" ht="21.75" customHeight="1" thickBot="1" x14ac:dyDescent="0.3">
      <c r="A123" s="319" t="s">
        <v>21</v>
      </c>
      <c r="B123" s="320"/>
      <c r="C123" s="320"/>
      <c r="D123" s="320"/>
      <c r="E123" s="320"/>
      <c r="F123" s="320"/>
      <c r="G123" s="320"/>
      <c r="H123" s="321"/>
      <c r="I123" s="321"/>
      <c r="J123" s="321">
        <f>SUM(J42,J61,J80,J104,J122)</f>
        <v>0</v>
      </c>
      <c r="K123" s="321">
        <f>SUM(K42,K61,K80,K104,K122)</f>
        <v>1</v>
      </c>
      <c r="L123" s="321">
        <f>SUM(L42,L61,L80,L104,L122)</f>
        <v>52</v>
      </c>
      <c r="M123" s="320">
        <f t="shared" ref="M123:AR123" si="879">SUM(M20:M41,M43:M60,M62:M79,M81:M103,M105:M121)</f>
        <v>9053</v>
      </c>
      <c r="N123" s="320">
        <f t="shared" si="879"/>
        <v>3665</v>
      </c>
      <c r="O123" s="320">
        <f t="shared" si="879"/>
        <v>5388</v>
      </c>
      <c r="P123" s="320">
        <f t="shared" si="879"/>
        <v>5388</v>
      </c>
      <c r="Q123" s="320">
        <f t="shared" si="879"/>
        <v>356</v>
      </c>
      <c r="R123" s="320">
        <f t="shared" si="879"/>
        <v>0</v>
      </c>
      <c r="S123" s="320">
        <f t="shared" si="879"/>
        <v>197.37253857253859</v>
      </c>
      <c r="T123" s="320">
        <f t="shared" si="879"/>
        <v>71.156349206349191</v>
      </c>
      <c r="U123" s="320">
        <f t="shared" si="879"/>
        <v>209.34779516358466</v>
      </c>
      <c r="V123" s="320">
        <f t="shared" si="879"/>
        <v>0</v>
      </c>
      <c r="W123" s="320">
        <f t="shared" si="879"/>
        <v>0</v>
      </c>
      <c r="X123" s="320">
        <f t="shared" si="879"/>
        <v>175.5</v>
      </c>
      <c r="Y123" s="320">
        <f t="shared" si="879"/>
        <v>4476</v>
      </c>
      <c r="Z123" s="320">
        <f t="shared" si="879"/>
        <v>2763</v>
      </c>
      <c r="AA123" s="320">
        <f t="shared" si="879"/>
        <v>2763</v>
      </c>
      <c r="AB123" s="320">
        <f t="shared" si="879"/>
        <v>490</v>
      </c>
      <c r="AC123" s="320">
        <f t="shared" si="879"/>
        <v>490</v>
      </c>
      <c r="AD123" s="320">
        <f t="shared" si="879"/>
        <v>120</v>
      </c>
      <c r="AE123" s="320">
        <f t="shared" si="879"/>
        <v>1275</v>
      </c>
      <c r="AF123" s="320">
        <f t="shared" si="879"/>
        <v>115</v>
      </c>
      <c r="AG123" s="320">
        <f t="shared" si="879"/>
        <v>0</v>
      </c>
      <c r="AH123" s="320">
        <f t="shared" si="879"/>
        <v>0</v>
      </c>
      <c r="AI123" s="320">
        <f t="shared" si="879"/>
        <v>0</v>
      </c>
      <c r="AJ123" s="320">
        <f t="shared" si="879"/>
        <v>25</v>
      </c>
      <c r="AK123" s="320">
        <f t="shared" si="879"/>
        <v>160</v>
      </c>
      <c r="AL123" s="320">
        <f t="shared" si="879"/>
        <v>0</v>
      </c>
      <c r="AM123" s="320">
        <f t="shared" si="879"/>
        <v>0</v>
      </c>
      <c r="AN123" s="320">
        <f t="shared" si="879"/>
        <v>60</v>
      </c>
      <c r="AO123" s="320">
        <f t="shared" si="879"/>
        <v>8</v>
      </c>
      <c r="AP123" s="320">
        <f t="shared" si="879"/>
        <v>30</v>
      </c>
      <c r="AQ123" s="320">
        <f t="shared" si="879"/>
        <v>480</v>
      </c>
      <c r="AR123" s="320">
        <f t="shared" si="879"/>
        <v>0</v>
      </c>
      <c r="AS123" s="320">
        <f t="shared" ref="AS123:BP123" si="880">SUM(AS20:AS41,AS43:AS60,AS62:AS79,AS81:AS103,AS105:AS121)</f>
        <v>1713</v>
      </c>
      <c r="AT123" s="320">
        <f t="shared" si="880"/>
        <v>0</v>
      </c>
      <c r="AU123" s="320">
        <f t="shared" si="880"/>
        <v>180.5</v>
      </c>
      <c r="AV123" s="320">
        <f t="shared" si="880"/>
        <v>4577</v>
      </c>
      <c r="AW123" s="320">
        <f t="shared" si="880"/>
        <v>2625</v>
      </c>
      <c r="AX123" s="320">
        <f t="shared" si="880"/>
        <v>2625</v>
      </c>
      <c r="AY123" s="320">
        <f t="shared" si="880"/>
        <v>470</v>
      </c>
      <c r="AZ123" s="320">
        <f t="shared" si="880"/>
        <v>470</v>
      </c>
      <c r="BA123" s="320">
        <f t="shared" si="880"/>
        <v>85</v>
      </c>
      <c r="BB123" s="320">
        <f t="shared" si="880"/>
        <v>1090</v>
      </c>
      <c r="BC123" s="320">
        <f t="shared" si="880"/>
        <v>190</v>
      </c>
      <c r="BD123" s="320">
        <f t="shared" si="880"/>
        <v>0</v>
      </c>
      <c r="BE123" s="320">
        <f t="shared" si="880"/>
        <v>10</v>
      </c>
      <c r="BF123" s="320">
        <f t="shared" si="880"/>
        <v>0</v>
      </c>
      <c r="BG123" s="320">
        <f t="shared" si="880"/>
        <v>30</v>
      </c>
      <c r="BH123" s="320">
        <f t="shared" si="880"/>
        <v>175</v>
      </c>
      <c r="BI123" s="320">
        <f t="shared" si="880"/>
        <v>0</v>
      </c>
      <c r="BJ123" s="320">
        <f t="shared" si="880"/>
        <v>0</v>
      </c>
      <c r="BK123" s="320">
        <f t="shared" si="880"/>
        <v>60</v>
      </c>
      <c r="BL123" s="320">
        <f t="shared" si="880"/>
        <v>5</v>
      </c>
      <c r="BM123" s="320">
        <f t="shared" si="880"/>
        <v>30</v>
      </c>
      <c r="BN123" s="320">
        <f t="shared" si="880"/>
        <v>480</v>
      </c>
      <c r="BO123" s="320">
        <f t="shared" si="880"/>
        <v>0</v>
      </c>
      <c r="BP123" s="320">
        <f t="shared" si="880"/>
        <v>1952</v>
      </c>
      <c r="BQ123" s="322"/>
      <c r="BR123" s="323"/>
      <c r="BS123" s="936">
        <f t="shared" ref="BS123:CJ123" si="881">SUM(BS20:BS41,BS43:BS60,BS62:BS79,BS81:BS103,BS105:BS121)</f>
        <v>3455</v>
      </c>
      <c r="BT123" s="936">
        <f t="shared" si="881"/>
        <v>960</v>
      </c>
      <c r="BU123" s="936">
        <f t="shared" si="881"/>
        <v>13</v>
      </c>
      <c r="BV123" s="936">
        <f t="shared" si="881"/>
        <v>0</v>
      </c>
      <c r="BW123" s="936">
        <f t="shared" si="881"/>
        <v>3665</v>
      </c>
      <c r="BX123" s="939">
        <f t="shared" si="881"/>
        <v>960</v>
      </c>
      <c r="BY123" s="947">
        <f t="shared" si="881"/>
        <v>9053</v>
      </c>
      <c r="BZ123" s="945">
        <f t="shared" si="881"/>
        <v>134.97279516358464</v>
      </c>
      <c r="CA123" s="937">
        <f t="shared" si="881"/>
        <v>38.37499999999995</v>
      </c>
      <c r="CB123" s="937">
        <f t="shared" si="881"/>
        <v>0.2</v>
      </c>
      <c r="CC123" s="937">
        <f t="shared" si="881"/>
        <v>0</v>
      </c>
      <c r="CD123" s="937">
        <f t="shared" si="881"/>
        <v>146.45220483641535</v>
      </c>
      <c r="CE123" s="955">
        <f t="shared" si="881"/>
        <v>36</v>
      </c>
      <c r="CF123" s="969">
        <f t="shared" si="881"/>
        <v>356</v>
      </c>
      <c r="CG123" s="961">
        <f t="shared" si="881"/>
        <v>5375</v>
      </c>
      <c r="CH123" s="939">
        <f t="shared" si="881"/>
        <v>973</v>
      </c>
      <c r="CI123" s="942">
        <f t="shared" si="881"/>
        <v>209.34779516358466</v>
      </c>
      <c r="CJ123" s="939">
        <f t="shared" si="881"/>
        <v>38.574999999999953</v>
      </c>
      <c r="CK123" s="1008">
        <f>Matryca!Q123</f>
        <v>153</v>
      </c>
      <c r="CL123" s="939">
        <f>Matryca!R123</f>
        <v>363</v>
      </c>
      <c r="CM123" s="943">
        <f>Matryca!S123</f>
        <v>149</v>
      </c>
    </row>
    <row r="124" spans="1:91" x14ac:dyDescent="0.25">
      <c r="I124" s="91"/>
      <c r="J124" s="91"/>
      <c r="K124" s="91"/>
      <c r="L124" s="91"/>
    </row>
    <row r="125" spans="1:91" x14ac:dyDescent="0.25">
      <c r="C125" s="432" t="s">
        <v>515</v>
      </c>
      <c r="D125" s="432" t="s">
        <v>513</v>
      </c>
      <c r="E125" s="433"/>
      <c r="F125" s="432"/>
      <c r="I125"/>
      <c r="J125"/>
      <c r="K125"/>
      <c r="L125"/>
      <c r="AT125" s="263"/>
      <c r="AU125" s="263"/>
      <c r="AV125" s="263"/>
      <c r="AW125" s="263"/>
      <c r="AX125" s="263"/>
    </row>
    <row r="126" spans="1:91" x14ac:dyDescent="0.25">
      <c r="C126" s="432"/>
      <c r="D126" s="432" t="s">
        <v>514</v>
      </c>
      <c r="E126" s="433"/>
      <c r="F126" s="432"/>
      <c r="N126" s="4"/>
      <c r="U126" s="17"/>
      <c r="AQ126" s="263">
        <f>AS123+BP123</f>
        <v>3665</v>
      </c>
      <c r="AT126" s="263"/>
      <c r="AU126" s="263"/>
      <c r="AV126" s="263"/>
      <c r="AW126" s="263"/>
      <c r="AX126" s="263"/>
    </row>
    <row r="127" spans="1:91" x14ac:dyDescent="0.25">
      <c r="I127" s="90"/>
      <c r="J127" s="90"/>
      <c r="K127" s="90"/>
      <c r="L127" s="90"/>
    </row>
    <row r="128" spans="1:91" x14ac:dyDescent="0.25">
      <c r="AG128" s="287"/>
    </row>
    <row r="129" spans="8:38" x14ac:dyDescent="0.25">
      <c r="AG129" s="287"/>
    </row>
    <row r="130" spans="8:38" ht="15" customHeight="1" x14ac:dyDescent="0.25">
      <c r="H130" s="1286" t="s">
        <v>78</v>
      </c>
      <c r="I130" s="1287" t="s">
        <v>75</v>
      </c>
      <c r="J130" s="236"/>
      <c r="K130" s="237"/>
      <c r="L130" s="237"/>
      <c r="M130" s="1290" t="s">
        <v>76</v>
      </c>
      <c r="N130" s="1286"/>
      <c r="O130" s="1286"/>
      <c r="P130" s="1288" t="s">
        <v>80</v>
      </c>
      <c r="Q130" s="1289" t="s">
        <v>81</v>
      </c>
      <c r="AG130" s="287"/>
    </row>
    <row r="131" spans="8:38" ht="91.35" customHeight="1" x14ac:dyDescent="0.25">
      <c r="H131" s="1286"/>
      <c r="I131" s="1287"/>
      <c r="J131" s="238"/>
      <c r="K131" s="239"/>
      <c r="L131" s="239"/>
      <c r="M131" s="247" t="s">
        <v>79</v>
      </c>
      <c r="N131" s="231" t="s">
        <v>426</v>
      </c>
      <c r="O131" s="231" t="s">
        <v>425</v>
      </c>
      <c r="P131" s="1288"/>
      <c r="Q131" s="1289"/>
      <c r="AE131" s="263">
        <f>P145-95</f>
        <v>7558</v>
      </c>
      <c r="AF131" s="263">
        <v>300</v>
      </c>
      <c r="AG131" s="287" t="s">
        <v>710</v>
      </c>
      <c r="AL131" s="263">
        <f>(350*300)/4755</f>
        <v>22.082018927444796</v>
      </c>
    </row>
    <row r="132" spans="8:38" ht="36" hidden="1" customHeight="1" x14ac:dyDescent="0.25">
      <c r="H132" s="221">
        <v>1</v>
      </c>
      <c r="I132" s="1209" t="s">
        <v>500</v>
      </c>
      <c r="J132" s="1210"/>
      <c r="K132" s="1211"/>
      <c r="L132" s="893"/>
      <c r="M132" s="158"/>
      <c r="N132" s="158"/>
      <c r="O132" s="158"/>
      <c r="P132" s="218">
        <f>SUM(O20:O41,O43:O60,O62:O79,O81:O103,O105:O121)</f>
        <v>5388</v>
      </c>
      <c r="Q132" s="7" t="str">
        <f t="shared" ref="Q132:Q160" si="882">IF(P132=O132,"OK","Wartość wymaga weryfikacji")</f>
        <v>Wartość wymaga weryfikacji</v>
      </c>
      <c r="AG132" s="287"/>
    </row>
    <row r="133" spans="8:38" ht="33" hidden="1" customHeight="1" x14ac:dyDescent="0.25">
      <c r="H133" s="221">
        <v>2</v>
      </c>
      <c r="I133" s="1209" t="s">
        <v>501</v>
      </c>
      <c r="J133" s="1210"/>
      <c r="K133" s="1211"/>
      <c r="L133" s="893"/>
      <c r="M133" s="158"/>
      <c r="N133" s="158">
        <v>300</v>
      </c>
      <c r="O133" s="158">
        <v>300</v>
      </c>
      <c r="P133" s="218">
        <f>SUM(Q20:Q41,Q43:Q60,Q62:Q79,Q81:Q103,Q105:Q121)</f>
        <v>356</v>
      </c>
      <c r="Q133" s="7" t="str">
        <f t="shared" si="882"/>
        <v>Wartość wymaga weryfikacji</v>
      </c>
      <c r="AG133" s="287"/>
    </row>
    <row r="134" spans="8:38" ht="45" hidden="1" customHeight="1" x14ac:dyDescent="0.25">
      <c r="H134" s="221">
        <v>3</v>
      </c>
      <c r="I134" s="1209" t="s">
        <v>430</v>
      </c>
      <c r="J134" s="1210"/>
      <c r="K134" s="1211"/>
      <c r="L134" s="893"/>
      <c r="M134" s="240">
        <v>0.5</v>
      </c>
      <c r="N134" s="241">
        <v>300</v>
      </c>
      <c r="O134" s="242">
        <f>M134*N134</f>
        <v>150</v>
      </c>
      <c r="P134" s="230">
        <f>SUM(U20:U41,U43:U60,U62:U79,U81:U103,U105:U121)</f>
        <v>209.34779516358466</v>
      </c>
      <c r="Q134" s="7" t="str">
        <f t="shared" si="882"/>
        <v>Wartość wymaga weryfikacji</v>
      </c>
      <c r="AG134" s="287"/>
    </row>
    <row r="135" spans="8:38" ht="51.75" hidden="1" customHeight="1" x14ac:dyDescent="0.25">
      <c r="H135" s="1230">
        <v>4</v>
      </c>
      <c r="I135" s="1209" t="s">
        <v>538</v>
      </c>
      <c r="J135" s="1210"/>
      <c r="K135" s="1211"/>
      <c r="L135" s="893"/>
      <c r="M135" s="240">
        <v>0.5</v>
      </c>
      <c r="N135" s="241">
        <v>300</v>
      </c>
      <c r="O135" s="242">
        <f t="shared" ref="O135:O136" si="883">M135*N135</f>
        <v>150</v>
      </c>
      <c r="P135" s="230">
        <f>SUM(T20:T41,T43:T60,T62:T79,T81:T103,T105:T121)</f>
        <v>71.156349206349191</v>
      </c>
      <c r="Q135" s="7" t="str">
        <f t="shared" si="882"/>
        <v>Wartość wymaga weryfikacji</v>
      </c>
      <c r="AG135" s="287"/>
    </row>
    <row r="136" spans="8:38" ht="60" hidden="1" customHeight="1" x14ac:dyDescent="0.25">
      <c r="H136" s="1231"/>
      <c r="I136" s="1209" t="s">
        <v>539</v>
      </c>
      <c r="J136" s="1210"/>
      <c r="K136" s="1211"/>
      <c r="L136" s="893"/>
      <c r="M136" s="240">
        <v>0.75</v>
      </c>
      <c r="N136" s="241">
        <v>300</v>
      </c>
      <c r="O136" s="242">
        <f t="shared" si="883"/>
        <v>225</v>
      </c>
      <c r="P136" s="230">
        <f>SUM(T20:T41,T43:T60,T62:T79,T81:T103,T105:T121)</f>
        <v>71.156349206349191</v>
      </c>
      <c r="Q136" s="7" t="str">
        <f t="shared" si="882"/>
        <v>Wartość wymaga weryfikacji</v>
      </c>
      <c r="R136" s="25"/>
      <c r="AG136" s="287"/>
    </row>
    <row r="137" spans="8:38" ht="29.25" hidden="1" customHeight="1" x14ac:dyDescent="0.25">
      <c r="H137" s="221">
        <v>5</v>
      </c>
      <c r="I137" s="1209" t="s">
        <v>512</v>
      </c>
      <c r="J137" s="1210"/>
      <c r="K137" s="1211"/>
      <c r="L137" s="893"/>
      <c r="M137" s="160">
        <v>0.3</v>
      </c>
      <c r="N137" s="159">
        <v>300</v>
      </c>
      <c r="O137" s="158">
        <f>M137*N137</f>
        <v>90</v>
      </c>
      <c r="P137" s="93">
        <f>(SUMIF(G20:G122,"POW",Q20:Q122))+(SUMIF(G20:G122,"PSW",Q20:Q122))</f>
        <v>161</v>
      </c>
      <c r="Q137" s="7" t="str">
        <f t="shared" si="882"/>
        <v>Wartość wymaga weryfikacji</v>
      </c>
      <c r="AG137" s="287"/>
    </row>
    <row r="138" spans="8:38" ht="29.25" customHeight="1" x14ac:dyDescent="0.25">
      <c r="H138" s="221">
        <v>6</v>
      </c>
      <c r="I138" s="1232" t="s">
        <v>428</v>
      </c>
      <c r="J138" s="1233"/>
      <c r="K138" s="1234"/>
      <c r="L138" s="891"/>
      <c r="M138" s="160"/>
      <c r="N138" s="159"/>
      <c r="O138" s="158"/>
      <c r="P138" s="67">
        <f>SUM(AN20:AN41,AN43:AN60,AN62:AN79,AN81:AN103,AN105:AN121,BK20:BK41,BK43:BK60,BK62:BK79,BK81:BK103,BK105:BK121)</f>
        <v>120</v>
      </c>
      <c r="Q138" s="7" t="str">
        <f t="shared" si="882"/>
        <v>Wartość wymaga weryfikacji</v>
      </c>
      <c r="AE138" s="263">
        <f>4755-95</f>
        <v>4660</v>
      </c>
      <c r="AF138" s="263">
        <f>(AE138*AF131)/AE131</f>
        <v>184.96956866896005</v>
      </c>
      <c r="AG138" s="263" t="s">
        <v>711</v>
      </c>
    </row>
    <row r="139" spans="8:38" ht="29.25" customHeight="1" x14ac:dyDescent="0.25">
      <c r="H139" s="221">
        <v>7</v>
      </c>
      <c r="I139" s="1232" t="s">
        <v>431</v>
      </c>
      <c r="J139" s="1233"/>
      <c r="K139" s="1234"/>
      <c r="L139" s="891"/>
      <c r="M139" s="160"/>
      <c r="N139" s="159"/>
      <c r="O139" s="158"/>
      <c r="P139" s="67">
        <f>(SUMIF(I20:I122,"*Język obcy*",Q20:Q122))+(SUMIF(I20:I122,"*Język angielski*",Q20:Q122))+(SUMIF(I20:I122,"*lektorat*",Q20:Q122))</f>
        <v>9</v>
      </c>
      <c r="Q139" s="7" t="str">
        <f t="shared" si="882"/>
        <v>Wartość wymaga weryfikacji</v>
      </c>
      <c r="T139" s="246" t="s">
        <v>756</v>
      </c>
      <c r="AE139" s="263">
        <f>AE138-960</f>
        <v>3700</v>
      </c>
      <c r="AF139" s="5">
        <f>AF138-36</f>
        <v>148.96956866896005</v>
      </c>
      <c r="AG139" s="263" t="s">
        <v>712</v>
      </c>
    </row>
    <row r="140" spans="8:38" ht="97.5" customHeight="1" x14ac:dyDescent="0.25">
      <c r="H140" s="221">
        <v>8</v>
      </c>
      <c r="I140" s="1232" t="s">
        <v>472</v>
      </c>
      <c r="J140" s="1233"/>
      <c r="K140" s="1234"/>
      <c r="L140" s="891"/>
      <c r="M140" s="160"/>
      <c r="N140" s="158"/>
      <c r="O140" s="158">
        <v>5</v>
      </c>
      <c r="P140" s="20">
        <f>SUMIF(K20:K122,"tak",Q20:Q122)</f>
        <v>5</v>
      </c>
      <c r="Q140" s="7" t="str">
        <f t="shared" si="882"/>
        <v>OK</v>
      </c>
      <c r="T140" s="246" t="s">
        <v>595</v>
      </c>
    </row>
    <row r="141" spans="8:38" ht="29.45" customHeight="1" x14ac:dyDescent="0.25">
      <c r="H141" s="221">
        <v>9</v>
      </c>
      <c r="I141" s="1232" t="s">
        <v>540</v>
      </c>
      <c r="J141" s="1233"/>
      <c r="K141" s="1234"/>
      <c r="L141" s="891"/>
      <c r="M141" s="158" t="s">
        <v>451</v>
      </c>
      <c r="N141" s="158" t="s">
        <v>492</v>
      </c>
      <c r="O141" s="158">
        <f>(6*4*30*60)/45</f>
        <v>960</v>
      </c>
      <c r="P141" s="344">
        <f>SUM(AQ20:AQ41,AQ43:AQ60,AQ62:AQ79,AQ81:AQ103,AQ105:AQ121,BN20:BN41,BN43:BN60,BN62:BN79,BN81:BN103,BN105:BN121)</f>
        <v>960</v>
      </c>
      <c r="Q141" s="7" t="str">
        <f>IF(P141=O141,"OK","Wartość wymaga weryfikacji")</f>
        <v>OK</v>
      </c>
      <c r="T141" s="246" t="s">
        <v>493</v>
      </c>
    </row>
    <row r="142" spans="8:38" ht="29.45" customHeight="1" thickBot="1" x14ac:dyDescent="0.3">
      <c r="H142" s="514">
        <v>10</v>
      </c>
      <c r="I142" s="1235" t="s">
        <v>543</v>
      </c>
      <c r="J142" s="1236"/>
      <c r="K142" s="1237"/>
      <c r="L142" s="892"/>
      <c r="M142" s="522"/>
      <c r="N142" s="517"/>
      <c r="O142" s="517"/>
      <c r="P142" s="523">
        <f>(SUMIF(I20:I122,"*praktyki zawodowe*",Q20:Q122))</f>
        <v>36</v>
      </c>
      <c r="Q142" s="518" t="str">
        <f>IF(P142=O142,"OK","Wartość wymaga weryfikacji")</f>
        <v>Wartość wymaga weryfikacji</v>
      </c>
      <c r="T142" s="246"/>
      <c r="Z142" s="1183" t="s">
        <v>502</v>
      </c>
      <c r="AA142" s="1184"/>
      <c r="AB142" s="1185"/>
      <c r="AC142" s="158">
        <f>P148</f>
        <v>300</v>
      </c>
      <c r="AI142" s="263" t="s">
        <v>747</v>
      </c>
    </row>
    <row r="143" spans="8:38" ht="66" hidden="1" customHeight="1" x14ac:dyDescent="0.25">
      <c r="H143" s="1238">
        <v>11</v>
      </c>
      <c r="I143" s="1240" t="s">
        <v>544</v>
      </c>
      <c r="J143" s="1241"/>
      <c r="K143" s="1242"/>
      <c r="L143" s="895"/>
      <c r="M143" s="519">
        <v>0.5</v>
      </c>
      <c r="N143" s="520">
        <v>300</v>
      </c>
      <c r="O143" s="512">
        <f t="shared" ref="O143:O144" si="884">M143*N143</f>
        <v>150</v>
      </c>
      <c r="P143" s="521">
        <f>ROUND((SUM(S20:S41,S43:S60,S62:S79,S81:S103,S105:S121)),0)</f>
        <v>197</v>
      </c>
      <c r="Q143" s="513" t="str">
        <f t="shared" ref="Q143:Q145" si="885">IF(P143=O143,"OK","Wartość wymaga weryfikacji")</f>
        <v>Wartość wymaga weryfikacji</v>
      </c>
      <c r="T143" s="246" t="s">
        <v>452</v>
      </c>
    </row>
    <row r="144" spans="8:38" ht="108" hidden="1" customHeight="1" x14ac:dyDescent="0.25">
      <c r="H144" s="1239"/>
      <c r="I144" s="1209" t="s">
        <v>545</v>
      </c>
      <c r="J144" s="1210"/>
      <c r="K144" s="1211"/>
      <c r="L144" s="893"/>
      <c r="M144" s="243">
        <v>0.5</v>
      </c>
      <c r="N144" s="244">
        <v>300</v>
      </c>
      <c r="O144" s="158">
        <f t="shared" si="884"/>
        <v>150</v>
      </c>
      <c r="P144" s="158"/>
      <c r="Q144" s="7" t="str">
        <f t="shared" si="885"/>
        <v>Wartość wymaga weryfikacji</v>
      </c>
      <c r="T144" s="246"/>
    </row>
    <row r="145" spans="4:36" ht="33" customHeight="1" x14ac:dyDescent="0.25">
      <c r="H145" s="494" t="s">
        <v>570</v>
      </c>
      <c r="I145" s="1183" t="s">
        <v>704</v>
      </c>
      <c r="J145" s="1184"/>
      <c r="K145" s="1185"/>
      <c r="L145" s="890"/>
      <c r="M145" s="243"/>
      <c r="N145" s="244"/>
      <c r="O145" s="158"/>
      <c r="P145" s="158">
        <f>SUM(M20:M41,M43:M60,M62:M79,M81:M103,M105:M121)-(SUMIF(D20:D122,"PZ",M20:M122))</f>
        <v>7653</v>
      </c>
      <c r="Q145" s="7" t="str">
        <f t="shared" si="885"/>
        <v>Wartość wymaga weryfikacji</v>
      </c>
      <c r="T145" s="246"/>
      <c r="Y145" s="555"/>
      <c r="Z145" s="1183" t="s">
        <v>704</v>
      </c>
      <c r="AA145" s="1184"/>
      <c r="AB145" s="1185"/>
      <c r="AC145" s="158">
        <f>P145</f>
        <v>7653</v>
      </c>
      <c r="AD145" s="263">
        <f>AC145-AJ148</f>
        <v>7558</v>
      </c>
      <c r="AE145" s="5"/>
      <c r="AI145" s="118" t="s">
        <v>432</v>
      </c>
      <c r="AJ145" s="738">
        <v>30</v>
      </c>
    </row>
    <row r="146" spans="4:36" ht="33" customHeight="1" x14ac:dyDescent="0.25">
      <c r="H146" s="494" t="s">
        <v>597</v>
      </c>
      <c r="I146" s="1183" t="s">
        <v>596</v>
      </c>
      <c r="J146" s="1184"/>
      <c r="K146" s="1185"/>
      <c r="L146" s="890"/>
      <c r="M146" s="243"/>
      <c r="N146" s="244"/>
      <c r="O146" s="158">
        <f>P145/2</f>
        <v>3826.5</v>
      </c>
      <c r="P146" s="509">
        <f>P147-P141</f>
        <v>3688</v>
      </c>
      <c r="Q146" s="7"/>
      <c r="T146" s="448"/>
      <c r="Y146" s="556"/>
      <c r="Z146" s="1183" t="s">
        <v>714</v>
      </c>
      <c r="AA146" s="1184"/>
      <c r="AB146" s="1185"/>
      <c r="AC146" s="158">
        <f>P147</f>
        <v>4648</v>
      </c>
      <c r="AD146" s="263">
        <f>AC146-AJ148</f>
        <v>4553</v>
      </c>
      <c r="AI146" s="118" t="s">
        <v>438</v>
      </c>
      <c r="AJ146" s="738">
        <v>5</v>
      </c>
    </row>
    <row r="147" spans="4:36" ht="30" customHeight="1" x14ac:dyDescent="0.25">
      <c r="H147" s="221" t="s">
        <v>506</v>
      </c>
      <c r="I147" s="1183" t="s">
        <v>614</v>
      </c>
      <c r="J147" s="1184"/>
      <c r="K147" s="1185"/>
      <c r="L147" s="890"/>
      <c r="M147" s="158"/>
      <c r="N147" s="158"/>
      <c r="O147" s="158"/>
      <c r="P147" s="158">
        <f>SUM(O20:O41,O43:O60,O62:O79,O81:O103,O105:O121)-(SUMIF(D20:D122,"PZ",O20:O122))</f>
        <v>4648</v>
      </c>
      <c r="Q147" s="7" t="str">
        <f t="shared" si="882"/>
        <v>Wartość wymaga weryfikacji</v>
      </c>
      <c r="T147" s="1299" t="s">
        <v>579</v>
      </c>
      <c r="U147" s="1300"/>
      <c r="V147" s="1301"/>
      <c r="Z147" s="1183" t="s">
        <v>713</v>
      </c>
      <c r="AA147" s="1184"/>
      <c r="AB147" s="1185"/>
      <c r="AC147" s="738">
        <f>P146</f>
        <v>3688</v>
      </c>
      <c r="AE147" s="5"/>
      <c r="AI147" s="118" t="s">
        <v>437</v>
      </c>
      <c r="AJ147" s="738">
        <v>60</v>
      </c>
    </row>
    <row r="148" spans="4:36" ht="30" customHeight="1" x14ac:dyDescent="0.25">
      <c r="H148" s="221" t="s">
        <v>508</v>
      </c>
      <c r="I148" s="1183" t="s">
        <v>502</v>
      </c>
      <c r="J148" s="1184"/>
      <c r="K148" s="1185"/>
      <c r="L148" s="890"/>
      <c r="M148" s="158"/>
      <c r="N148" s="158">
        <v>300</v>
      </c>
      <c r="O148" s="158">
        <v>300</v>
      </c>
      <c r="P148" s="158">
        <f>SUM(Q20:Q41,Q43:Q60,Q62:Q79,Q81:Q103,Q105:Q121)-(SUMIF(D20:D122,"PZ",Q20:Q122))</f>
        <v>300</v>
      </c>
      <c r="Q148" s="7" t="str">
        <f t="shared" si="882"/>
        <v>OK</v>
      </c>
      <c r="T148" s="497" t="s">
        <v>578</v>
      </c>
      <c r="U148" s="498" t="s">
        <v>498</v>
      </c>
      <c r="V148" s="499" t="s">
        <v>499</v>
      </c>
      <c r="AE148" s="5"/>
      <c r="AI148" s="739" t="s">
        <v>709</v>
      </c>
      <c r="AJ148" s="739">
        <f>SUBTOTAL(9,AJ145:AJ147)</f>
        <v>95</v>
      </c>
    </row>
    <row r="149" spans="4:36" ht="58.5" customHeight="1" x14ac:dyDescent="0.25">
      <c r="H149" s="1095" t="s">
        <v>598</v>
      </c>
      <c r="I149" s="1183" t="s">
        <v>745</v>
      </c>
      <c r="J149" s="1184"/>
      <c r="K149" s="1185"/>
      <c r="L149" s="890"/>
      <c r="M149" s="240">
        <v>0.5</v>
      </c>
      <c r="N149" s="241">
        <v>300</v>
      </c>
      <c r="O149" s="502">
        <f>M149*N149</f>
        <v>150</v>
      </c>
      <c r="P149" s="245">
        <f>(SUMIF(D20:D122,"PK",U20:U122))+(SUMIF(D20:D41,"",U20:U41))+(SUMIF(D43:D60,"",U43:U60))+(SUMIF(D62:D79,"",U62:U79))+(SUMIF(D81:D103,"",U81:U103))+(SUMIF(D105:D121,"",U105:U121))</f>
        <v>179.74779516358461</v>
      </c>
      <c r="Q149" s="7" t="str">
        <f t="shared" si="882"/>
        <v>Wartość wymaga weryfikacji</v>
      </c>
      <c r="S149" s="846"/>
      <c r="T149" s="501" t="s">
        <v>575</v>
      </c>
      <c r="U149" s="496">
        <f>(SUMIF(D81:D103,"PK",Z81:Z103))</f>
        <v>205</v>
      </c>
      <c r="V149" s="500">
        <f>(SUMIF(D81:D103,"PZ",Z81:Z103))</f>
        <v>210</v>
      </c>
      <c r="AE149" s="5"/>
    </row>
    <row r="150" spans="4:36" ht="77.25" customHeight="1" x14ac:dyDescent="0.25">
      <c r="H150" s="221" t="s">
        <v>599</v>
      </c>
      <c r="I150" s="1183" t="s">
        <v>619</v>
      </c>
      <c r="J150" s="1184"/>
      <c r="K150" s="1185"/>
      <c r="L150" s="890"/>
      <c r="M150" s="240">
        <v>0.5</v>
      </c>
      <c r="N150" s="241">
        <v>300</v>
      </c>
      <c r="O150" s="502">
        <f>M150*N150</f>
        <v>150</v>
      </c>
      <c r="P150" s="245">
        <f>((P147*P148)/P145)-P142</f>
        <v>146.203057624461</v>
      </c>
      <c r="Q150" s="7" t="str">
        <f t="shared" si="882"/>
        <v>Wartość wymaga weryfikacji</v>
      </c>
      <c r="T150" s="501"/>
      <c r="U150" s="496"/>
      <c r="V150" s="500"/>
      <c r="AE150" s="5"/>
    </row>
    <row r="151" spans="4:36" ht="64.5" customHeight="1" x14ac:dyDescent="0.25">
      <c r="H151" s="1095" t="s">
        <v>534</v>
      </c>
      <c r="I151" s="1224" t="s">
        <v>535</v>
      </c>
      <c r="J151" s="1225"/>
      <c r="K151" s="1226"/>
      <c r="L151" s="901"/>
      <c r="M151" s="240">
        <v>0.5</v>
      </c>
      <c r="N151" s="241">
        <v>300</v>
      </c>
      <c r="O151" s="242">
        <f t="shared" ref="O151" si="886">M151*N151</f>
        <v>150</v>
      </c>
      <c r="P151" s="1109">
        <f>(SUMIF(D20:D122,"PK",T20:T122))+(SUMIF(D20:D41,"",T20:T41))+(SUMIF(D43:D60,"",T43:T60))+(SUMIF(D62:D79,"",T62:T79))+(SUMIF(D86:D103,"",T86:T103))+(SUMIF(D105:D121,"",T105:T121))</f>
        <v>58.267027417027414</v>
      </c>
      <c r="Q151" s="7" t="str">
        <f t="shared" si="882"/>
        <v>Wartość wymaga weryfikacji</v>
      </c>
      <c r="T151" s="501" t="s">
        <v>574</v>
      </c>
      <c r="U151" s="496">
        <f>(SUMIF(D81:D103,"PK",AW81:AW103))</f>
        <v>165</v>
      </c>
      <c r="V151" s="500">
        <f>(SUMIF(D81:D103,"PZ",AW81:AW103))</f>
        <v>165</v>
      </c>
    </row>
    <row r="152" spans="4:36" ht="28.5" customHeight="1" x14ac:dyDescent="0.25">
      <c r="H152" s="221" t="s">
        <v>509</v>
      </c>
      <c r="I152" s="1183" t="s">
        <v>503</v>
      </c>
      <c r="J152" s="1184"/>
      <c r="K152" s="1185"/>
      <c r="L152" s="890"/>
      <c r="M152" s="160">
        <v>0.3</v>
      </c>
      <c r="N152" s="159">
        <v>300</v>
      </c>
      <c r="O152" s="158">
        <f>M152*N152</f>
        <v>90</v>
      </c>
      <c r="P152" s="245">
        <f>(SUMIFS(Q20:Q122,D20:D122,"PK",G20:G122,"POW"))+(SUMIFS(Q20:Q122,D20:D122,"PK",G20:G122,"PSW"))+(SUMIFS(Q20:Q122,D20:D122,"",G20:G122,"PSW"))+(SUMIFS(Q20:Q122,D20:D122,"",G20:G122,"POW"))</f>
        <v>105</v>
      </c>
      <c r="Q152" s="7" t="str">
        <f t="shared" si="882"/>
        <v>Wartość wymaga weryfikacji</v>
      </c>
      <c r="T152" s="501" t="s">
        <v>576</v>
      </c>
      <c r="U152" s="496">
        <f>(SUMIF(D105:D121,"PK",Z105:Z121))</f>
        <v>165</v>
      </c>
      <c r="V152" s="500">
        <f>(SUMIF(D105:D121,"PZ",Z105:Z121))</f>
        <v>145</v>
      </c>
    </row>
    <row r="153" spans="4:36" ht="77.25" customHeight="1" x14ac:dyDescent="0.25">
      <c r="D153" s="263"/>
      <c r="E153" s="263"/>
      <c r="F153" s="503"/>
      <c r="H153" s="1087" t="s">
        <v>541</v>
      </c>
      <c r="I153" s="1223" t="s">
        <v>550</v>
      </c>
      <c r="J153" s="1223"/>
      <c r="K153" s="1223"/>
      <c r="L153" s="900"/>
      <c r="M153" s="160">
        <v>0.5</v>
      </c>
      <c r="N153" s="244">
        <v>300</v>
      </c>
      <c r="O153" s="158">
        <f t="shared" ref="O153" si="887">M153*N153</f>
        <v>150</v>
      </c>
      <c r="P153" s="1109">
        <f>(SUMIF(D20:D122,"PK",S20:S122))+(SUMIF(D20:D41,"",S20:S41))+(SUMIF(D43:D60,"",S43:S60))+(SUMIF(D62:D79,"",S62:S79))+(SUMIF(D81:D103,"",S81:S103))+(SUMIF(D105:D121,"",S105:S121))</f>
        <v>151.06186036186037</v>
      </c>
      <c r="Q153" s="7" t="str">
        <f t="shared" si="882"/>
        <v>Wartość wymaga weryfikacji</v>
      </c>
      <c r="R153"/>
      <c r="S153" s="448" t="s">
        <v>615</v>
      </c>
      <c r="T153" s="501" t="s">
        <v>577</v>
      </c>
      <c r="U153" s="496">
        <f>(SUMIF(D105:D121,"PK",AW105:AW121))</f>
        <v>200</v>
      </c>
      <c r="V153" s="500">
        <f>(SUMIF(D105:D121,"PZ",AW105:AW121))</f>
        <v>220</v>
      </c>
    </row>
    <row r="154" spans="4:36" ht="30" customHeight="1" x14ac:dyDescent="0.25">
      <c r="F154" s="503"/>
      <c r="H154" s="443" t="s">
        <v>546</v>
      </c>
      <c r="I154" s="1183" t="s">
        <v>516</v>
      </c>
      <c r="J154" s="1184"/>
      <c r="K154" s="1185"/>
      <c r="L154" s="890"/>
      <c r="M154" s="434"/>
      <c r="N154" s="434"/>
      <c r="O154" s="434"/>
      <c r="P154" s="241">
        <f>(SUMIF(D20:D122,"PK",O20:O122))</f>
        <v>735</v>
      </c>
      <c r="Q154" s="7" t="str">
        <f t="shared" si="882"/>
        <v>Wartość wymaga weryfikacji</v>
      </c>
      <c r="R154"/>
      <c r="T154" s="497" t="s">
        <v>21</v>
      </c>
      <c r="U154" s="498">
        <f>SUM(U149:U153)</f>
        <v>735</v>
      </c>
      <c r="V154" s="499">
        <f>SUM(V149:V153)</f>
        <v>740</v>
      </c>
    </row>
    <row r="155" spans="4:36" ht="30" customHeight="1" x14ac:dyDescent="0.25">
      <c r="H155" s="443" t="s">
        <v>547</v>
      </c>
      <c r="I155" s="1183" t="s">
        <v>518</v>
      </c>
      <c r="J155" s="1184"/>
      <c r="K155" s="1185"/>
      <c r="L155" s="890"/>
      <c r="M155" s="434"/>
      <c r="N155" s="434"/>
      <c r="O155" s="434"/>
      <c r="P155" s="241">
        <f>(SUMIF(D20:D122,"PK",Q20:Q122))</f>
        <v>56</v>
      </c>
      <c r="Q155" s="7" t="str">
        <f t="shared" si="882"/>
        <v>Wartość wymaga weryfikacji</v>
      </c>
      <c r="R155"/>
    </row>
    <row r="156" spans="4:36" ht="30" customHeight="1" x14ac:dyDescent="0.25">
      <c r="H156" s="443" t="s">
        <v>554</v>
      </c>
      <c r="I156" s="1183" t="s">
        <v>552</v>
      </c>
      <c r="J156" s="1184"/>
      <c r="K156" s="1185"/>
      <c r="L156" s="890"/>
      <c r="M156" s="434"/>
      <c r="N156" s="434"/>
      <c r="O156" s="241">
        <v>60</v>
      </c>
      <c r="P156" s="241">
        <f>(SUMIF(D81:D103,"PK",Q81:Q103))+(SUMIF(D81:D103,"",Q81:Q103))</f>
        <v>60</v>
      </c>
      <c r="Q156" s="7" t="str">
        <f t="shared" si="882"/>
        <v>OK</v>
      </c>
      <c r="R156"/>
    </row>
    <row r="157" spans="4:36" ht="28.5" customHeight="1" x14ac:dyDescent="0.25">
      <c r="H157" s="221" t="s">
        <v>555</v>
      </c>
      <c r="I157" s="1183" t="s">
        <v>553</v>
      </c>
      <c r="J157" s="1184"/>
      <c r="K157" s="1185"/>
      <c r="L157" s="890"/>
      <c r="M157" s="160"/>
      <c r="N157" s="159"/>
      <c r="O157" s="158">
        <v>60</v>
      </c>
      <c r="P157" s="158">
        <f>(SUMIF(D105:D121,"PK",Q105:Q121))+(SUMIF(D105:D121,"",Q105:Q121))</f>
        <v>60</v>
      </c>
      <c r="Q157" s="7" t="str">
        <f t="shared" si="882"/>
        <v>OK</v>
      </c>
    </row>
    <row r="158" spans="4:36" ht="28.5" customHeight="1" x14ac:dyDescent="0.25">
      <c r="H158" s="221" t="s">
        <v>600</v>
      </c>
      <c r="I158" s="1183" t="s">
        <v>602</v>
      </c>
      <c r="J158" s="1184"/>
      <c r="K158" s="1185"/>
      <c r="L158" s="890"/>
      <c r="M158" s="160"/>
      <c r="N158" s="159"/>
      <c r="O158" s="158"/>
      <c r="P158" s="158">
        <f>SUM(O81:O103)-(SUMIF(D81:D103,"PZ",O81:O103))</f>
        <v>1005</v>
      </c>
      <c r="Q158" s="7" t="str">
        <f t="shared" si="882"/>
        <v>Wartość wymaga weryfikacji</v>
      </c>
    </row>
    <row r="159" spans="4:36" ht="28.5" customHeight="1" thickBot="1" x14ac:dyDescent="0.3">
      <c r="H159" s="514" t="s">
        <v>601</v>
      </c>
      <c r="I159" s="1186" t="s">
        <v>603</v>
      </c>
      <c r="J159" s="1187"/>
      <c r="K159" s="1188"/>
      <c r="L159" s="896"/>
      <c r="M159" s="515"/>
      <c r="N159" s="516"/>
      <c r="O159" s="517"/>
      <c r="P159" s="517">
        <f>SUM(O105:O121)-(SUMIF(D105:D122,"PZ",O105:O122))</f>
        <v>645</v>
      </c>
      <c r="Q159" s="7" t="str">
        <f t="shared" si="882"/>
        <v>Wartość wymaga weryfikacji</v>
      </c>
    </row>
    <row r="160" spans="4:36" ht="28.5" customHeight="1" x14ac:dyDescent="0.25">
      <c r="H160" s="505" t="s">
        <v>572</v>
      </c>
      <c r="I160" s="1192" t="s">
        <v>573</v>
      </c>
      <c r="J160" s="1193"/>
      <c r="K160" s="1194"/>
      <c r="L160" s="898"/>
      <c r="M160" s="510"/>
      <c r="N160" s="511"/>
      <c r="O160" s="512"/>
      <c r="P160" s="512">
        <f>SUM(M20:M41,M43:M60,M62:M79,M81:M103,M105:M121)-(SUMIF(D20:D122,"PK",M20:M122))</f>
        <v>7653</v>
      </c>
      <c r="Q160" s="513" t="str">
        <f t="shared" si="882"/>
        <v>Wartość wymaga weryfikacji</v>
      </c>
    </row>
    <row r="161" spans="4:19" ht="30.75" customHeight="1" x14ac:dyDescent="0.25">
      <c r="H161" s="505" t="s">
        <v>604</v>
      </c>
      <c r="I161" s="1143" t="s">
        <v>605</v>
      </c>
      <c r="J161" s="1144"/>
      <c r="K161" s="1145"/>
      <c r="L161" s="898"/>
      <c r="M161" s="510"/>
      <c r="N161" s="511"/>
      <c r="O161" s="512"/>
      <c r="P161" s="524">
        <f>P162-P141</f>
        <v>3693</v>
      </c>
      <c r="Q161" s="513"/>
    </row>
    <row r="162" spans="4:19" ht="30" customHeight="1" x14ac:dyDescent="0.25">
      <c r="H162" s="221" t="s">
        <v>507</v>
      </c>
      <c r="I162" s="1143" t="s">
        <v>613</v>
      </c>
      <c r="J162" s="1144"/>
      <c r="K162" s="1145"/>
      <c r="L162" s="894"/>
      <c r="M162" s="158"/>
      <c r="N162" s="158"/>
      <c r="O162" s="158"/>
      <c r="P162" s="158">
        <f>SUM(O20:O41,O43:O60,O62:O79,O81:O103,O105:O121)-(SUMIF(D20:D122,"PK",O20:O122))</f>
        <v>4653</v>
      </c>
      <c r="Q162" s="7" t="str">
        <f t="shared" ref="Q162:Q175" si="888">IF(P162=O162,"OK","Wartość wymaga weryfikacji")</f>
        <v>Wartość wymaga weryfikacji</v>
      </c>
      <c r="R162"/>
    </row>
    <row r="163" spans="4:19" ht="30" customHeight="1" x14ac:dyDescent="0.25">
      <c r="D163" s="504"/>
      <c r="H163" s="221" t="s">
        <v>510</v>
      </c>
      <c r="I163" s="1143" t="s">
        <v>504</v>
      </c>
      <c r="J163" s="1144"/>
      <c r="K163" s="1145"/>
      <c r="L163" s="894"/>
      <c r="M163" s="158"/>
      <c r="N163" s="158">
        <v>300</v>
      </c>
      <c r="O163" s="158">
        <v>300</v>
      </c>
      <c r="P163" s="158">
        <f>SUM(Q20:Q41,Q43:Q60,Q62:Q79,Q81:Q103,Q105:Q121)-(SUMIF(D20:D122,"PK",Q20:Q122))</f>
        <v>300</v>
      </c>
      <c r="Q163" s="7" t="str">
        <f t="shared" si="888"/>
        <v>OK</v>
      </c>
      <c r="R163"/>
    </row>
    <row r="164" spans="4:19" ht="60.75" customHeight="1" x14ac:dyDescent="0.25">
      <c r="D164" s="504"/>
      <c r="F164" s="504"/>
      <c r="H164" s="1095" t="s">
        <v>606</v>
      </c>
      <c r="I164" s="1143" t="s">
        <v>746</v>
      </c>
      <c r="J164" s="1144"/>
      <c r="K164" s="1145"/>
      <c r="L164" s="894"/>
      <c r="M164" s="240">
        <v>0.5</v>
      </c>
      <c r="N164" s="241">
        <v>300</v>
      </c>
      <c r="O164" s="502">
        <f>M164*N164</f>
        <v>150</v>
      </c>
      <c r="P164" s="245">
        <f>(SUMIF(D20:D122,"PZ",U20:U122))+(SUMIF(D20:D41,"",U20:U41))+(SUMIF(D43:D60,"",U43:U60))+(SUMIF(D62:D79,"",U62:U79))+(SUMIF(D81:D103,"",U81:U103))+(SUMIF(D105:D121,"",U105:U121))</f>
        <v>179.9477951635846</v>
      </c>
      <c r="Q164" s="7" t="str">
        <f t="shared" si="888"/>
        <v>Wartość wymaga weryfikacji</v>
      </c>
      <c r="S164" s="846"/>
    </row>
    <row r="165" spans="4:19" ht="78" customHeight="1" x14ac:dyDescent="0.25">
      <c r="D165" s="504"/>
      <c r="F165" s="504"/>
      <c r="H165" s="221" t="s">
        <v>607</v>
      </c>
      <c r="I165" s="1143" t="s">
        <v>608</v>
      </c>
      <c r="J165" s="1144"/>
      <c r="K165" s="1145"/>
      <c r="L165" s="894"/>
      <c r="M165" s="240">
        <v>0.5</v>
      </c>
      <c r="N165" s="241">
        <v>300</v>
      </c>
      <c r="O165" s="502">
        <f>M165*N165</f>
        <v>150</v>
      </c>
      <c r="P165" s="245">
        <f>((P162*P163)/P160)-P142</f>
        <v>146.39905919247354</v>
      </c>
      <c r="Q165" s="7"/>
      <c r="R165"/>
    </row>
    <row r="166" spans="4:19" ht="60.75" customHeight="1" x14ac:dyDescent="0.25">
      <c r="D166" s="504"/>
      <c r="F166" s="504"/>
      <c r="H166" s="1095" t="s">
        <v>537</v>
      </c>
      <c r="I166" s="1227" t="s">
        <v>536</v>
      </c>
      <c r="J166" s="1228"/>
      <c r="K166" s="1229"/>
      <c r="L166" s="902"/>
      <c r="M166" s="240">
        <v>0.5</v>
      </c>
      <c r="N166" s="241">
        <v>300</v>
      </c>
      <c r="O166" s="242">
        <f t="shared" ref="O166" si="889">M166*N166</f>
        <v>150</v>
      </c>
      <c r="P166" s="1109">
        <f>(SUMIF(D20:D122,"PZ",T20:T122))+(SUMIF(D20:D41,"",T20:T41))+(SUMIF(D43:D60,"",T43:T60))+(SUMIF(D62:D79,"",T62:T79))+(SUMIF(D86:D103,"",T86:T103))+(SUMIF(D105:D121,"",T105:T121))</f>
        <v>58.551298701298698</v>
      </c>
      <c r="Q166" s="7" t="str">
        <f t="shared" si="888"/>
        <v>Wartość wymaga weryfikacji</v>
      </c>
      <c r="R166"/>
    </row>
    <row r="167" spans="4:19" ht="30" customHeight="1" x14ac:dyDescent="0.25">
      <c r="D167" s="504"/>
      <c r="H167" s="221" t="s">
        <v>511</v>
      </c>
      <c r="I167" s="1143" t="s">
        <v>505</v>
      </c>
      <c r="J167" s="1144"/>
      <c r="K167" s="1145"/>
      <c r="L167" s="894"/>
      <c r="M167" s="160">
        <v>0.3</v>
      </c>
      <c r="N167" s="159">
        <v>300</v>
      </c>
      <c r="O167" s="158">
        <f>M167*N167</f>
        <v>90</v>
      </c>
      <c r="P167" s="158">
        <f>(SUMIFS(Q20:Q122,D20:D122,"PZ",G20:G122,"POW"))+(SUMIFS(Q20:Q122,D20:D122,"PZ",G20:G122,"PSW"))+(SUMIFS(Q20:Q122,D20:D122,"",G20:G122,"PSW"))+(SUMIFS(Q20:Q122,D20:D122,"",G20:G122,"POW"))</f>
        <v>105</v>
      </c>
      <c r="Q167" s="7" t="str">
        <f t="shared" si="888"/>
        <v>Wartość wymaga weryfikacji</v>
      </c>
      <c r="R167"/>
    </row>
    <row r="168" spans="4:19" ht="72.75" customHeight="1" x14ac:dyDescent="0.25">
      <c r="H168" s="1086" t="s">
        <v>542</v>
      </c>
      <c r="I168" s="1223" t="s">
        <v>551</v>
      </c>
      <c r="J168" s="1223"/>
      <c r="K168" s="1223"/>
      <c r="L168" s="900"/>
      <c r="M168" s="160">
        <v>0.5</v>
      </c>
      <c r="N168" s="244">
        <v>300</v>
      </c>
      <c r="O168" s="158">
        <f t="shared" ref="O168" si="890">M168*N168</f>
        <v>150</v>
      </c>
      <c r="P168" s="1108">
        <f>(SUMIF(D20:D122,"PZ",S20:S122))+(SUMIF(D20:D41,"",S20:S41))+(SUMIF(D43:D60,"",S43:S60))+(SUMIF(D62:D79,"",S62:S79))+(SUMIF(D81:D103,"",S81:S103))+(SUMIF(D105:D121,"",S105:S121))</f>
        <v>151.34901764901764</v>
      </c>
      <c r="Q168" s="7" t="str">
        <f t="shared" ref="Q168" si="891">IF(P168=O168,"OK","Wartość wymaga weryfikacji")</f>
        <v>Wartość wymaga weryfikacji</v>
      </c>
      <c r="R168"/>
      <c r="S168" s="448" t="s">
        <v>615</v>
      </c>
    </row>
    <row r="169" spans="4:19" ht="29.25" customHeight="1" x14ac:dyDescent="0.25">
      <c r="H169" s="443" t="s">
        <v>548</v>
      </c>
      <c r="I169" s="1143" t="s">
        <v>517</v>
      </c>
      <c r="J169" s="1144"/>
      <c r="K169" s="1145"/>
      <c r="L169" s="894"/>
      <c r="M169" s="434"/>
      <c r="N169" s="434"/>
      <c r="O169" s="434"/>
      <c r="P169" s="241">
        <f>(SUMIF(D20:D122,"PZ",O20:O122))</f>
        <v>740</v>
      </c>
      <c r="Q169" s="7" t="str">
        <f t="shared" si="888"/>
        <v>Wartość wymaga weryfikacji</v>
      </c>
      <c r="R169"/>
    </row>
    <row r="170" spans="4:19" ht="29.25" customHeight="1" x14ac:dyDescent="0.25">
      <c r="H170" s="443" t="s">
        <v>549</v>
      </c>
      <c r="I170" s="1143" t="s">
        <v>519</v>
      </c>
      <c r="J170" s="1144"/>
      <c r="K170" s="1145"/>
      <c r="L170" s="894"/>
      <c r="M170" s="434"/>
      <c r="N170" s="434"/>
      <c r="O170" s="434"/>
      <c r="P170" s="241">
        <f>(SUMIF(D20:D122,"PZ",Q20:Q122))</f>
        <v>56</v>
      </c>
      <c r="Q170" s="7" t="str">
        <f t="shared" si="888"/>
        <v>Wartość wymaga weryfikacji</v>
      </c>
      <c r="R170"/>
    </row>
    <row r="171" spans="4:19" x14ac:dyDescent="0.25">
      <c r="H171" s="443" t="s">
        <v>562</v>
      </c>
      <c r="I171" s="1143" t="s">
        <v>556</v>
      </c>
      <c r="J171" s="1144"/>
      <c r="K171" s="1145"/>
      <c r="L171" s="894"/>
      <c r="M171" s="434"/>
      <c r="N171" s="434"/>
      <c r="O171" s="241">
        <v>60</v>
      </c>
      <c r="P171" s="445">
        <f>(SUMIF(D81:D103,"PZ",Q81:Q103))+(SUMIF(D81:D103,"",Q81:Q103))</f>
        <v>60</v>
      </c>
      <c r="Q171" s="7" t="str">
        <f t="shared" si="888"/>
        <v>OK</v>
      </c>
    </row>
    <row r="172" spans="4:19" x14ac:dyDescent="0.25">
      <c r="H172" s="221" t="s">
        <v>563</v>
      </c>
      <c r="I172" s="1143" t="s">
        <v>557</v>
      </c>
      <c r="J172" s="1144"/>
      <c r="K172" s="1145"/>
      <c r="L172" s="894"/>
      <c r="M172" s="160"/>
      <c r="N172" s="159"/>
      <c r="O172" s="158">
        <v>60</v>
      </c>
      <c r="P172" s="445">
        <f>(SUMIF(D105:D121,"PZ",Q105:Q121))+(SUMIF(D105:D121,"",Q105:Q121))</f>
        <v>60</v>
      </c>
      <c r="Q172" s="7" t="str">
        <f t="shared" si="888"/>
        <v>OK</v>
      </c>
    </row>
    <row r="173" spans="4:19" ht="30" customHeight="1" x14ac:dyDescent="0.25">
      <c r="H173" s="221" t="s">
        <v>609</v>
      </c>
      <c r="I173" s="1143" t="s">
        <v>612</v>
      </c>
      <c r="J173" s="1144"/>
      <c r="K173" s="1145"/>
      <c r="L173" s="894"/>
      <c r="M173" s="160"/>
      <c r="N173" s="159"/>
      <c r="O173" s="158"/>
      <c r="P173" s="158">
        <f>SUM(O81:O103)-(SUMIF(D81:D103,"PK",O81:O103))</f>
        <v>1010</v>
      </c>
      <c r="Q173" s="7" t="str">
        <f t="shared" si="888"/>
        <v>Wartość wymaga weryfikacji</v>
      </c>
    </row>
    <row r="174" spans="4:19" ht="30.75" customHeight="1" thickBot="1" x14ac:dyDescent="0.3">
      <c r="H174" s="514" t="s">
        <v>610</v>
      </c>
      <c r="I174" s="1189" t="s">
        <v>611</v>
      </c>
      <c r="J174" s="1190"/>
      <c r="K174" s="1191"/>
      <c r="L174" s="897"/>
      <c r="M174" s="515"/>
      <c r="N174" s="516"/>
      <c r="O174" s="517"/>
      <c r="P174" s="517">
        <f>SUM(O105:O121)-(SUMIF(D105:D122,"PK",O105:O122))</f>
        <v>645</v>
      </c>
      <c r="Q174" s="7" t="str">
        <f t="shared" si="888"/>
        <v>Wartość wymaga weryfikacji</v>
      </c>
    </row>
    <row r="175" spans="4:19" ht="33" customHeight="1" x14ac:dyDescent="0.25">
      <c r="H175" s="444">
        <v>18</v>
      </c>
      <c r="I175" s="1220" t="s">
        <v>569</v>
      </c>
      <c r="J175" s="1221"/>
      <c r="K175" s="1222"/>
      <c r="L175" s="899"/>
      <c r="M175" s="493"/>
      <c r="N175" s="434"/>
      <c r="O175" s="493">
        <v>60</v>
      </c>
      <c r="P175" s="442">
        <f>SUM(AP20:AP41,AP43:AP60,AP62:AP79,AP81:AP103,AP105:AP121,BM20:BM41,BM43:BM60,BM62:BM79,BM81:BM103,BM105:BM121)</f>
        <v>60</v>
      </c>
      <c r="Q175" s="7" t="str">
        <f t="shared" si="888"/>
        <v>OK</v>
      </c>
    </row>
    <row r="176" spans="4:19" ht="15" customHeight="1" x14ac:dyDescent="0.25">
      <c r="H176" s="444" t="s">
        <v>752</v>
      </c>
      <c r="I176" s="1146" t="s">
        <v>753</v>
      </c>
      <c r="J176" s="1146"/>
      <c r="K176" s="1146"/>
      <c r="L176" s="493"/>
      <c r="M176" s="493"/>
      <c r="N176" s="434">
        <v>25</v>
      </c>
      <c r="O176" s="493">
        <v>30</v>
      </c>
      <c r="P176" s="903">
        <f>P145/P148</f>
        <v>25.51</v>
      </c>
      <c r="Q176" s="7" t="str">
        <f t="shared" ref="Q176:Q177" si="892">IF(P176=O176,"OK","Wartość wymaga weryfikacji")</f>
        <v>Wartość wymaga weryfikacji</v>
      </c>
    </row>
    <row r="177" spans="3:17" ht="15" customHeight="1" x14ac:dyDescent="0.25">
      <c r="H177" s="444" t="s">
        <v>754</v>
      </c>
      <c r="I177" s="1146" t="s">
        <v>755</v>
      </c>
      <c r="J177" s="1146"/>
      <c r="K177" s="1146"/>
      <c r="L177" s="493"/>
      <c r="M177" s="493"/>
      <c r="N177" s="434">
        <v>25</v>
      </c>
      <c r="O177" s="493">
        <v>30</v>
      </c>
      <c r="P177" s="903">
        <f>P160/P163</f>
        <v>25.51</v>
      </c>
      <c r="Q177" s="7" t="str">
        <f t="shared" si="892"/>
        <v>Wartość wymaga weryfikacji</v>
      </c>
    </row>
    <row r="179" spans="3:17" x14ac:dyDescent="0.25">
      <c r="C179" s="1" t="s">
        <v>41</v>
      </c>
    </row>
    <row r="180" spans="3:17" x14ac:dyDescent="0.25">
      <c r="C180" s="1" t="s">
        <v>88</v>
      </c>
    </row>
    <row r="182" spans="3:17" x14ac:dyDescent="0.25">
      <c r="C182" s="1" t="s">
        <v>89</v>
      </c>
      <c r="I182" s="431" t="s">
        <v>513</v>
      </c>
    </row>
    <row r="183" spans="3:17" x14ac:dyDescent="0.25">
      <c r="I183" s="431" t="s">
        <v>514</v>
      </c>
    </row>
    <row r="184" spans="3:17" x14ac:dyDescent="0.25">
      <c r="C184" s="1" t="s">
        <v>53</v>
      </c>
    </row>
    <row r="185" spans="3:17" x14ac:dyDescent="0.25">
      <c r="C185" t="s">
        <v>34</v>
      </c>
    </row>
    <row r="186" spans="3:17" x14ac:dyDescent="0.25">
      <c r="C186" t="s">
        <v>35</v>
      </c>
    </row>
    <row r="187" spans="3:17" x14ac:dyDescent="0.25">
      <c r="C187" t="s">
        <v>36</v>
      </c>
    </row>
    <row r="190" spans="3:17" x14ac:dyDescent="0.25">
      <c r="C190" s="1" t="s">
        <v>105</v>
      </c>
    </row>
    <row r="191" spans="3:17" x14ac:dyDescent="0.25">
      <c r="C191" t="s">
        <v>101</v>
      </c>
    </row>
    <row r="192" spans="3:17" x14ac:dyDescent="0.25">
      <c r="C192" t="s">
        <v>102</v>
      </c>
    </row>
    <row r="194" spans="3:3" x14ac:dyDescent="0.25">
      <c r="C194" s="1" t="s">
        <v>423</v>
      </c>
    </row>
    <row r="195" spans="3:3" x14ac:dyDescent="0.25">
      <c r="C195" t="s">
        <v>37</v>
      </c>
    </row>
    <row r="196" spans="3:3" x14ac:dyDescent="0.25">
      <c r="C196" t="s">
        <v>38</v>
      </c>
    </row>
    <row r="197" spans="3:3" x14ac:dyDescent="0.25">
      <c r="C197" t="s">
        <v>39</v>
      </c>
    </row>
    <row r="199" spans="3:3" x14ac:dyDescent="0.25">
      <c r="C199" s="1" t="s">
        <v>422</v>
      </c>
    </row>
    <row r="200" spans="3:3" x14ac:dyDescent="0.25">
      <c r="C200" t="s">
        <v>37</v>
      </c>
    </row>
    <row r="201" spans="3:3" x14ac:dyDescent="0.25">
      <c r="C201" t="s">
        <v>38</v>
      </c>
    </row>
    <row r="202" spans="3:3" x14ac:dyDescent="0.25">
      <c r="C202" t="s">
        <v>39</v>
      </c>
    </row>
    <row r="204" spans="3:3" x14ac:dyDescent="0.25">
      <c r="C204" s="1" t="s">
        <v>424</v>
      </c>
    </row>
    <row r="205" spans="3:3" x14ac:dyDescent="0.25">
      <c r="C205" t="s">
        <v>42</v>
      </c>
    </row>
    <row r="206" spans="3:3" x14ac:dyDescent="0.25">
      <c r="C206" t="s">
        <v>43</v>
      </c>
    </row>
  </sheetData>
  <autoFilter ref="A18:CM123" xr:uid="{738ED7CF-DF51-43BF-A344-502F574B04B6}"/>
  <sortState xmlns:xlrd2="http://schemas.microsoft.com/office/spreadsheetml/2017/richdata2" ref="A105:BR121">
    <sortCondition ref="I105:I121"/>
  </sortState>
  <mergeCells count="188">
    <mergeCell ref="CK15:CM16"/>
    <mergeCell ref="CK17:CK19"/>
    <mergeCell ref="CL17:CL19"/>
    <mergeCell ref="CM17:CM19"/>
    <mergeCell ref="L15:L19"/>
    <mergeCell ref="Z147:AB147"/>
    <mergeCell ref="Z145:AB145"/>
    <mergeCell ref="Z146:AB146"/>
    <mergeCell ref="Z142:AB142"/>
    <mergeCell ref="AM18:AM19"/>
    <mergeCell ref="AB18:AB19"/>
    <mergeCell ref="AF16:AF17"/>
    <mergeCell ref="T147:V147"/>
    <mergeCell ref="Q16:U16"/>
    <mergeCell ref="M16:P16"/>
    <mergeCell ref="BQ15:BR16"/>
    <mergeCell ref="AI18:AI19"/>
    <mergeCell ref="AH18:AH19"/>
    <mergeCell ref="AF18:AF19"/>
    <mergeCell ref="AE18:AE19"/>
    <mergeCell ref="AB16:AC16"/>
    <mergeCell ref="AL16:AL17"/>
    <mergeCell ref="AD18:AD19"/>
    <mergeCell ref="V18:V19"/>
    <mergeCell ref="BC16:BC17"/>
    <mergeCell ref="BG16:BG17"/>
    <mergeCell ref="BH16:BH17"/>
    <mergeCell ref="BI16:BI17"/>
    <mergeCell ref="AK16:AK17"/>
    <mergeCell ref="AJ16:AJ17"/>
    <mergeCell ref="AE16:AE17"/>
    <mergeCell ref="BJ16:BJ17"/>
    <mergeCell ref="BL16:BL17"/>
    <mergeCell ref="BD16:BF16"/>
    <mergeCell ref="M15:V15"/>
    <mergeCell ref="Y16:Y17"/>
    <mergeCell ref="AS18:AS19"/>
    <mergeCell ref="AR18:AR19"/>
    <mergeCell ref="H130:H131"/>
    <mergeCell ref="I130:I131"/>
    <mergeCell ref="P130:P131"/>
    <mergeCell ref="Q130:Q131"/>
    <mergeCell ref="M130:O130"/>
    <mergeCell ref="J15:J19"/>
    <mergeCell ref="K15:K19"/>
    <mergeCell ref="W15:AS15"/>
    <mergeCell ref="AL18:AL19"/>
    <mergeCell ref="AK18:AK19"/>
    <mergeCell ref="AJ18:AJ19"/>
    <mergeCell ref="AQ18:AQ19"/>
    <mergeCell ref="AP18:AP19"/>
    <mergeCell ref="AO18:AO19"/>
    <mergeCell ref="AN18:AN19"/>
    <mergeCell ref="BC18:BC19"/>
    <mergeCell ref="BB18:BB19"/>
    <mergeCell ref="BA18:BA19"/>
    <mergeCell ref="BM18:BM19"/>
    <mergeCell ref="BL18:BL19"/>
    <mergeCell ref="BK18:BK19"/>
    <mergeCell ref="BJ18:BJ19"/>
    <mergeCell ref="BI18:BI19"/>
    <mergeCell ref="BH18:BH19"/>
    <mergeCell ref="BG18:BG19"/>
    <mergeCell ref="BE18:BE19"/>
    <mergeCell ref="BD18:BD19"/>
    <mergeCell ref="A15:A17"/>
    <mergeCell ref="I18:I19"/>
    <mergeCell ref="G18:G19"/>
    <mergeCell ref="F18:F19"/>
    <mergeCell ref="E18:E19"/>
    <mergeCell ref="D18:D19"/>
    <mergeCell ref="C18:C19"/>
    <mergeCell ref="B18:B19"/>
    <mergeCell ref="A18:A19"/>
    <mergeCell ref="I15:I17"/>
    <mergeCell ref="G15:G17"/>
    <mergeCell ref="F15:F17"/>
    <mergeCell ref="E15:E17"/>
    <mergeCell ref="D15:D17"/>
    <mergeCell ref="C15:C17"/>
    <mergeCell ref="B15:B17"/>
    <mergeCell ref="H15:H17"/>
    <mergeCell ref="AT15:BP15"/>
    <mergeCell ref="BB16:BB17"/>
    <mergeCell ref="AO16:AO17"/>
    <mergeCell ref="AP16:AP17"/>
    <mergeCell ref="AN16:AN17"/>
    <mergeCell ref="AM16:AM17"/>
    <mergeCell ref="X16:X17"/>
    <mergeCell ref="W16:W17"/>
    <mergeCell ref="Z16:Z17"/>
    <mergeCell ref="AA16:AA17"/>
    <mergeCell ref="AQ16:AQ17"/>
    <mergeCell ref="AY16:AZ16"/>
    <mergeCell ref="BO16:BO17"/>
    <mergeCell ref="BP16:BP17"/>
    <mergeCell ref="AG16:AI16"/>
    <mergeCell ref="BK16:BK17"/>
    <mergeCell ref="BN16:BN17"/>
    <mergeCell ref="BM16:BM17"/>
    <mergeCell ref="AT16:AT17"/>
    <mergeCell ref="AV16:AV17"/>
    <mergeCell ref="AU16:AU17"/>
    <mergeCell ref="BA16:BA17"/>
    <mergeCell ref="AD16:AD17"/>
    <mergeCell ref="AX16:AX17"/>
    <mergeCell ref="H135:H136"/>
    <mergeCell ref="I135:K135"/>
    <mergeCell ref="I136:K136"/>
    <mergeCell ref="I138:K138"/>
    <mergeCell ref="I139:K139"/>
    <mergeCell ref="I140:K140"/>
    <mergeCell ref="I137:K137"/>
    <mergeCell ref="I156:K156"/>
    <mergeCell ref="I157:K157"/>
    <mergeCell ref="I150:K150"/>
    <mergeCell ref="I142:K142"/>
    <mergeCell ref="I141:K141"/>
    <mergeCell ref="H143:H144"/>
    <mergeCell ref="I143:K143"/>
    <mergeCell ref="I144:K144"/>
    <mergeCell ref="I154:K154"/>
    <mergeCell ref="I155:K155"/>
    <mergeCell ref="I175:K175"/>
    <mergeCell ref="I171:K171"/>
    <mergeCell ref="I172:K172"/>
    <mergeCell ref="I147:K147"/>
    <mergeCell ref="I148:K148"/>
    <mergeCell ref="I152:K152"/>
    <mergeCell ref="I162:K162"/>
    <mergeCell ref="I163:K163"/>
    <mergeCell ref="I167:K167"/>
    <mergeCell ref="I168:K168"/>
    <mergeCell ref="I169:K169"/>
    <mergeCell ref="I170:K170"/>
    <mergeCell ref="I149:K149"/>
    <mergeCell ref="I164:K164"/>
    <mergeCell ref="I151:K151"/>
    <mergeCell ref="I166:K166"/>
    <mergeCell ref="I153:K153"/>
    <mergeCell ref="CG16:CG19"/>
    <mergeCell ref="CH16:CH19"/>
    <mergeCell ref="I158:K158"/>
    <mergeCell ref="I159:K159"/>
    <mergeCell ref="I173:K173"/>
    <mergeCell ref="I174:K174"/>
    <mergeCell ref="I145:K145"/>
    <mergeCell ref="I160:K160"/>
    <mergeCell ref="I146:K146"/>
    <mergeCell ref="AY18:AY19"/>
    <mergeCell ref="AT18:AT19"/>
    <mergeCell ref="AU18:AU19"/>
    <mergeCell ref="V16:V17"/>
    <mergeCell ref="AW16:AW17"/>
    <mergeCell ref="AR16:AR17"/>
    <mergeCell ref="AS16:AS17"/>
    <mergeCell ref="I134:K134"/>
    <mergeCell ref="I132:K132"/>
    <mergeCell ref="I133:K133"/>
    <mergeCell ref="BR18:BR19"/>
    <mergeCell ref="BP18:BP19"/>
    <mergeCell ref="BO18:BO19"/>
    <mergeCell ref="W18:W19"/>
    <mergeCell ref="BN18:BN19"/>
    <mergeCell ref="CI16:CI19"/>
    <mergeCell ref="CJ16:CJ19"/>
    <mergeCell ref="I161:K161"/>
    <mergeCell ref="I165:K165"/>
    <mergeCell ref="I176:K176"/>
    <mergeCell ref="I177:K177"/>
    <mergeCell ref="BS15:BY15"/>
    <mergeCell ref="BZ15:CF15"/>
    <mergeCell ref="CG15:CH15"/>
    <mergeCell ref="CI15:CJ15"/>
    <mergeCell ref="BS16:BS19"/>
    <mergeCell ref="BT16:BT19"/>
    <mergeCell ref="BU16:BU19"/>
    <mergeCell ref="BV16:BV19"/>
    <mergeCell ref="BW16:BW19"/>
    <mergeCell ref="BX16:BX19"/>
    <mergeCell ref="BY16:BY19"/>
    <mergeCell ref="BZ16:BZ19"/>
    <mergeCell ref="CA16:CA19"/>
    <mergeCell ref="CB16:CB19"/>
    <mergeCell ref="CC16:CC19"/>
    <mergeCell ref="CD16:CD19"/>
    <mergeCell ref="CE16:CE19"/>
    <mergeCell ref="CF16:CF19"/>
  </mergeCells>
  <phoneticPr fontId="10" type="noConversion"/>
  <conditionalFormatting sqref="P132">
    <cfRule type="cellIs" dxfId="223" priority="355" operator="lessThan">
      <formula>$O$132</formula>
    </cfRule>
    <cfRule type="cellIs" dxfId="222" priority="356" operator="greaterThanOrEqual">
      <formula>$O$132</formula>
    </cfRule>
  </conditionalFormatting>
  <conditionalFormatting sqref="P133">
    <cfRule type="cellIs" dxfId="221" priority="353" operator="greaterThanOrEqual">
      <formula>$O$133</formula>
    </cfRule>
    <cfRule type="cellIs" dxfId="220" priority="354" operator="lessThan">
      <formula>$O$133</formula>
    </cfRule>
  </conditionalFormatting>
  <conditionalFormatting sqref="P134">
    <cfRule type="cellIs" dxfId="219" priority="349" operator="lessThan">
      <formula>$O$134</formula>
    </cfRule>
    <cfRule type="cellIs" dxfId="218" priority="350" operator="greaterThanOrEqual">
      <formula>$O$134</formula>
    </cfRule>
  </conditionalFormatting>
  <conditionalFormatting sqref="P135">
    <cfRule type="cellIs" dxfId="217" priority="361" operator="lessThanOrEqual">
      <formula>$O$135</formula>
    </cfRule>
    <cfRule type="cellIs" dxfId="216" priority="362" operator="greaterThan">
      <formula>$O$135</formula>
    </cfRule>
  </conditionalFormatting>
  <conditionalFormatting sqref="P136">
    <cfRule type="cellIs" dxfId="215" priority="343" operator="lessThanOrEqual">
      <formula>$O$136</formula>
    </cfRule>
    <cfRule type="cellIs" dxfId="214" priority="344" operator="greaterThan">
      <formula>$O$136</formula>
    </cfRule>
  </conditionalFormatting>
  <conditionalFormatting sqref="P137">
    <cfRule type="cellIs" dxfId="213" priority="359" operator="lessThan">
      <formula>$O$137</formula>
    </cfRule>
    <cfRule type="cellIs" dxfId="212" priority="360" operator="greaterThanOrEqual">
      <formula>$O$137</formula>
    </cfRule>
  </conditionalFormatting>
  <conditionalFormatting sqref="P138:P139">
    <cfRule type="cellIs" dxfId="211" priority="347" operator="lessThan">
      <formula>1</formula>
    </cfRule>
    <cfRule type="cellIs" dxfId="210" priority="348" operator="greaterThanOrEqual">
      <formula>1</formula>
    </cfRule>
  </conditionalFormatting>
  <conditionalFormatting sqref="P140">
    <cfRule type="cellIs" dxfId="209" priority="363" operator="greaterThanOrEqual">
      <formula>$O$140</formula>
    </cfRule>
    <cfRule type="cellIs" dxfId="208" priority="364" operator="lessThan">
      <formula>$O$140</formula>
    </cfRule>
  </conditionalFormatting>
  <conditionalFormatting sqref="P141">
    <cfRule type="cellIs" dxfId="207" priority="351" operator="lessThan">
      <formula>$O$141</formula>
    </cfRule>
    <cfRule type="cellIs" dxfId="206" priority="352" operator="greaterThanOrEqual">
      <formula>$O$141</formula>
    </cfRule>
  </conditionalFormatting>
  <conditionalFormatting sqref="P142">
    <cfRule type="cellIs" dxfId="205" priority="256" operator="lessThan">
      <formula>$O$142</formula>
    </cfRule>
    <cfRule type="cellIs" dxfId="204" priority="257" operator="greaterThanOrEqual">
      <formula>$O$142</formula>
    </cfRule>
  </conditionalFormatting>
  <conditionalFormatting sqref="P143">
    <cfRule type="cellIs" dxfId="203" priority="345" operator="lessThanOrEqual">
      <formula>$O$143</formula>
    </cfRule>
    <cfRule type="cellIs" dxfId="202" priority="346" operator="greaterThan">
      <formula>$O$143</formula>
    </cfRule>
  </conditionalFormatting>
  <conditionalFormatting sqref="P147">
    <cfRule type="cellIs" dxfId="201" priority="341" operator="lessThan">
      <formula>$O$147</formula>
    </cfRule>
    <cfRule type="cellIs" dxfId="200" priority="342" operator="greaterThanOrEqual">
      <formula>$O$147</formula>
    </cfRule>
  </conditionalFormatting>
  <conditionalFormatting sqref="P148">
    <cfRule type="cellIs" dxfId="199" priority="260" operator="lessThan">
      <formula>$O$148</formula>
    </cfRule>
    <cfRule type="cellIs" dxfId="198" priority="261" operator="greaterThanOrEqual">
      <formula>$O$148</formula>
    </cfRule>
  </conditionalFormatting>
  <conditionalFormatting sqref="P149">
    <cfRule type="cellIs" dxfId="197" priority="308" operator="lessThan">
      <formula>$O$149</formula>
    </cfRule>
    <cfRule type="cellIs" dxfId="196" priority="309" operator="greaterThanOrEqual">
      <formula>$O$149</formula>
    </cfRule>
  </conditionalFormatting>
  <conditionalFormatting sqref="P150">
    <cfRule type="cellIs" dxfId="195" priority="222" operator="lessThan">
      <formula>$O$150</formula>
    </cfRule>
    <cfRule type="cellIs" dxfId="194" priority="223" operator="greaterThanOrEqual">
      <formula>$O$150</formula>
    </cfRule>
  </conditionalFormatting>
  <conditionalFormatting sqref="P151">
    <cfRule type="cellIs" dxfId="193" priority="254" operator="lessThanOrEqual">
      <formula>$O$151</formula>
    </cfRule>
    <cfRule type="cellIs" dxfId="192" priority="255" operator="greaterThan">
      <formula>$O$151</formula>
    </cfRule>
  </conditionalFormatting>
  <conditionalFormatting sqref="P152">
    <cfRule type="cellIs" dxfId="191" priority="306" operator="lessThan">
      <formula>$O$152</formula>
    </cfRule>
    <cfRule type="cellIs" dxfId="190" priority="307" operator="greaterThanOrEqual">
      <formula>$O$152</formula>
    </cfRule>
  </conditionalFormatting>
  <conditionalFormatting sqref="P153">
    <cfRule type="cellIs" dxfId="189" priority="252" operator="lessThanOrEqual">
      <formula>$O$153</formula>
    </cfRule>
    <cfRule type="cellIs" dxfId="188" priority="253" operator="greaterThan">
      <formula>$O$153</formula>
    </cfRule>
  </conditionalFormatting>
  <conditionalFormatting sqref="P156">
    <cfRule type="cellIs" dxfId="187" priority="242" operator="notEqual">
      <formula>$O$156</formula>
    </cfRule>
    <cfRule type="cellIs" dxfId="186" priority="243" operator="equal">
      <formula>$O$156</formula>
    </cfRule>
  </conditionalFormatting>
  <conditionalFormatting sqref="P157">
    <cfRule type="cellIs" dxfId="185" priority="236" operator="lessThan">
      <formula>$O$157</formula>
    </cfRule>
    <cfRule type="cellIs" dxfId="184" priority="237" operator="greaterThanOrEqual">
      <formula>$O$157</formula>
    </cfRule>
  </conditionalFormatting>
  <conditionalFormatting sqref="P162">
    <cfRule type="cellIs" dxfId="183" priority="310" operator="lessThanOrEqual">
      <formula>$O$162</formula>
    </cfRule>
    <cfRule type="cellIs" dxfId="182" priority="311" operator="greaterThan">
      <formula>$O$162</formula>
    </cfRule>
  </conditionalFormatting>
  <conditionalFormatting sqref="P163">
    <cfRule type="cellIs" dxfId="181" priority="304" operator="lessThan">
      <formula>$O$163</formula>
    </cfRule>
    <cfRule type="cellIs" dxfId="180" priority="305" operator="greaterThanOrEqual">
      <formula>$O$163</formula>
    </cfRule>
  </conditionalFormatting>
  <conditionalFormatting sqref="P164">
    <cfRule type="cellIs" dxfId="179" priority="250" operator="lessThan">
      <formula>$O$164</formula>
    </cfRule>
    <cfRule type="cellIs" dxfId="178" priority="251" operator="greaterThanOrEqual">
      <formula>$O$164</formula>
    </cfRule>
  </conditionalFormatting>
  <conditionalFormatting sqref="P165">
    <cfRule type="cellIs" dxfId="177" priority="219" operator="lessThan">
      <formula>$O$165</formula>
    </cfRule>
    <cfRule type="cellIs" dxfId="176" priority="221" operator="greaterThanOrEqual">
      <formula>$O$165</formula>
    </cfRule>
  </conditionalFormatting>
  <conditionalFormatting sqref="P166">
    <cfRule type="cellIs" dxfId="175" priority="248" operator="lessThanOrEqual">
      <formula>$O$166</formula>
    </cfRule>
    <cfRule type="cellIs" dxfId="174" priority="249" operator="greaterThan">
      <formula>$O$166</formula>
    </cfRule>
  </conditionalFormatting>
  <conditionalFormatting sqref="P167">
    <cfRule type="cellIs" dxfId="173" priority="301" operator="lessThan">
      <formula>$O$167</formula>
    </cfRule>
    <cfRule type="cellIs" dxfId="172" priority="303" operator="greaterThanOrEqual">
      <formula>$O$167</formula>
    </cfRule>
  </conditionalFormatting>
  <conditionalFormatting sqref="P168">
    <cfRule type="cellIs" dxfId="171" priority="244" operator="lessThanOrEqual">
      <formula>$O$168</formula>
    </cfRule>
    <cfRule type="cellIs" dxfId="170" priority="245" operator="greaterThan">
      <formula>$O$168</formula>
    </cfRule>
  </conditionalFormatting>
  <conditionalFormatting sqref="P171">
    <cfRule type="cellIs" dxfId="169" priority="240" operator="notEqual">
      <formula>$O$171</formula>
    </cfRule>
    <cfRule type="cellIs" dxfId="168" priority="241" operator="equal">
      <formula>$O$171</formula>
    </cfRule>
  </conditionalFormatting>
  <conditionalFormatting sqref="P172">
    <cfRule type="cellIs" dxfId="167" priority="238" operator="notEqual">
      <formula>$O$172</formula>
    </cfRule>
    <cfRule type="cellIs" dxfId="166" priority="239" operator="equal">
      <formula>$O$172</formula>
    </cfRule>
  </conditionalFormatting>
  <conditionalFormatting sqref="P175">
    <cfRule type="cellIs" dxfId="165" priority="234" operator="lessThan">
      <formula>$O$175</formula>
    </cfRule>
    <cfRule type="cellIs" dxfId="164" priority="235" operator="greaterThanOrEqual">
      <formula>$O$175</formula>
    </cfRule>
  </conditionalFormatting>
  <conditionalFormatting sqref="P176">
    <cfRule type="cellIs" dxfId="163" priority="134" operator="between">
      <formula>$N$176</formula>
      <formula>"$N$176"</formula>
    </cfRule>
    <cfRule type="cellIs" dxfId="162" priority="135" operator="equal">
      <formula>$O$176</formula>
    </cfRule>
    <cfRule type="cellIs" dxfId="161" priority="136" operator="equal">
      <formula>$N$176</formula>
    </cfRule>
    <cfRule type="cellIs" dxfId="160" priority="137" operator="lessThan">
      <formula>$N$176</formula>
    </cfRule>
    <cfRule type="cellIs" dxfId="159" priority="138" operator="greaterThan">
      <formula>$O$176</formula>
    </cfRule>
  </conditionalFormatting>
  <conditionalFormatting sqref="P177">
    <cfRule type="cellIs" dxfId="158" priority="129" operator="between">
      <formula>$N$177</formula>
      <formula>"$N$177"</formula>
    </cfRule>
    <cfRule type="cellIs" dxfId="157" priority="130" operator="equal">
      <formula>$O$177</formula>
    </cfRule>
    <cfRule type="cellIs" dxfId="156" priority="131" operator="equal">
      <formula>$N$177</formula>
    </cfRule>
    <cfRule type="cellIs" dxfId="155" priority="132" operator="lessThan">
      <formula>$N$177</formula>
    </cfRule>
    <cfRule type="cellIs" dxfId="154" priority="133" operator="greaterThan">
      <formula>$O$177</formula>
    </cfRule>
  </conditionalFormatting>
  <conditionalFormatting sqref="Q20:Q32 Q37:Q41 Q34:Q35">
    <cfRule type="containsText" dxfId="153" priority="158" operator="containsText" text=",">
      <formula>NOT(ISERROR(SEARCH(",",Q20)))</formula>
    </cfRule>
  </conditionalFormatting>
  <conditionalFormatting sqref="Q26">
    <cfRule type="colorScale" priority="159">
      <colorScale>
        <cfvo type="num" val="&quot;*,*&quot;"/>
        <cfvo type="max"/>
        <color rgb="FFFF7128"/>
        <color rgb="FFFFEF9C"/>
      </colorScale>
    </cfRule>
  </conditionalFormatting>
  <conditionalFormatting sqref="Q43:Q60">
    <cfRule type="containsText" dxfId="152" priority="14" operator="containsText" text=",">
      <formula>NOT(ISERROR(SEARCH(",",Q43)))</formula>
    </cfRule>
  </conditionalFormatting>
  <conditionalFormatting sqref="Q50">
    <cfRule type="colorScale" priority="213">
      <colorScale>
        <cfvo type="num" val="&quot;*,*&quot;"/>
        <cfvo type="max"/>
        <color rgb="FFFF7128"/>
        <color rgb="FFFFEF9C"/>
      </colorScale>
    </cfRule>
  </conditionalFormatting>
  <conditionalFormatting sqref="Q51">
    <cfRule type="colorScale" priority="15">
      <colorScale>
        <cfvo type="num" val="&quot;*,*&quot;"/>
        <cfvo type="max"/>
        <color rgb="FFFF7128"/>
        <color rgb="FFFFEF9C"/>
      </colorScale>
    </cfRule>
  </conditionalFormatting>
  <conditionalFormatting sqref="Q52:Q60 Q20:Q25 Q27:Q28 Q43:Q49 Q62:Q76">
    <cfRule type="colorScale" priority="770">
      <colorScale>
        <cfvo type="num" val="&quot;*,*&quot;"/>
        <cfvo type="max"/>
        <color rgb="FFFF7128"/>
        <color rgb="FFFFEF9C"/>
      </colorScale>
    </cfRule>
  </conditionalFormatting>
  <conditionalFormatting sqref="Q62:Q70">
    <cfRule type="containsText" dxfId="151" priority="217" operator="containsText" text=",">
      <formula>NOT(ISERROR(SEARCH(",",Q62)))</formula>
    </cfRule>
  </conditionalFormatting>
  <conditionalFormatting sqref="Q71:Q76">
    <cfRule type="containsText" dxfId="150" priority="500" operator="containsText" text=",">
      <formula>NOT(ISERROR(SEARCH(",",Q71)))</formula>
    </cfRule>
  </conditionalFormatting>
  <conditionalFormatting sqref="Q73">
    <cfRule type="containsText" dxfId="149" priority="267" operator="containsText" text=",">
      <formula>NOT(ISERROR(SEARCH(",",Q73)))</formula>
    </cfRule>
    <cfRule type="colorScale" priority="268">
      <colorScale>
        <cfvo type="num" val="&quot;*,*&quot;"/>
        <cfvo type="max"/>
        <color rgb="FFFF7128"/>
        <color rgb="FFFFEF9C"/>
      </colorScale>
    </cfRule>
  </conditionalFormatting>
  <conditionalFormatting sqref="Q75">
    <cfRule type="containsText" dxfId="148" priority="299" operator="containsText" text=",">
      <formula>NOT(ISERROR(SEARCH(",",Q75)))</formula>
    </cfRule>
    <cfRule type="colorScale" priority="300">
      <colorScale>
        <cfvo type="num" val="&quot;*,*&quot;"/>
        <cfvo type="max"/>
        <color rgb="FFFF7128"/>
        <color rgb="FFFFEF9C"/>
      </colorScale>
    </cfRule>
  </conditionalFormatting>
  <conditionalFormatting sqref="Q77">
    <cfRule type="colorScale" priority="198">
      <colorScale>
        <cfvo type="num" val="&quot;*,*&quot;"/>
        <cfvo type="max"/>
        <color rgb="FFFF7128"/>
        <color rgb="FFFFEF9C"/>
      </colorScale>
    </cfRule>
  </conditionalFormatting>
  <conditionalFormatting sqref="Q77:Q79">
    <cfRule type="containsText" dxfId="147" priority="187" operator="containsText" text=",">
      <formula>NOT(ISERROR(SEARCH(",",Q77)))</formula>
    </cfRule>
  </conditionalFormatting>
  <conditionalFormatting sqref="Q78">
    <cfRule type="colorScale" priority="188">
      <colorScale>
        <cfvo type="num" val="&quot;*,*&quot;"/>
        <cfvo type="max"/>
        <color rgb="FFFF7128"/>
        <color rgb="FFFFEF9C"/>
      </colorScale>
    </cfRule>
  </conditionalFormatting>
  <conditionalFormatting sqref="Q79">
    <cfRule type="colorScale" priority="190">
      <colorScale>
        <cfvo type="num" val="&quot;*,*&quot;"/>
        <cfvo type="max"/>
        <color rgb="FFFF7128"/>
        <color rgb="FFFFEF9C"/>
      </colorScale>
    </cfRule>
  </conditionalFormatting>
  <conditionalFormatting sqref="Q81:Q82">
    <cfRule type="colorScale" priority="45">
      <colorScale>
        <cfvo type="num" val="&quot;*,*&quot;"/>
        <cfvo type="max"/>
        <color rgb="FFFF7128"/>
        <color rgb="FFFFEF9C"/>
      </colorScale>
    </cfRule>
  </conditionalFormatting>
  <conditionalFormatting sqref="Q81:Q103">
    <cfRule type="containsText" dxfId="146" priority="19" operator="containsText" text=",">
      <formula>NOT(ISERROR(SEARCH(",",Q81)))</formula>
    </cfRule>
  </conditionalFormatting>
  <conditionalFormatting sqref="Q83:Q85">
    <cfRule type="colorScale" priority="40">
      <colorScale>
        <cfvo type="num" val="&quot;*,*&quot;"/>
        <cfvo type="max"/>
        <color rgb="FFFF7128"/>
        <color rgb="FFFFEF9C"/>
      </colorScale>
    </cfRule>
  </conditionalFormatting>
  <conditionalFormatting sqref="Q87">
    <cfRule type="colorScale" priority="208">
      <colorScale>
        <cfvo type="num" val="&quot;*,*&quot;"/>
        <cfvo type="max"/>
        <color rgb="FFFF7128"/>
        <color rgb="FFFFEF9C"/>
      </colorScale>
    </cfRule>
  </conditionalFormatting>
  <conditionalFormatting sqref="Q88">
    <cfRule type="colorScale" priority="30">
      <colorScale>
        <cfvo type="num" val="&quot;*,*&quot;"/>
        <cfvo type="max"/>
        <color rgb="FFFF7128"/>
        <color rgb="FFFFEF9C"/>
      </colorScale>
    </cfRule>
  </conditionalFormatting>
  <conditionalFormatting sqref="Q89">
    <cfRule type="colorScale" priority="35">
      <colorScale>
        <cfvo type="num" val="&quot;*,*&quot;"/>
        <cfvo type="max"/>
        <color rgb="FFFF7128"/>
        <color rgb="FFFFEF9C"/>
      </colorScale>
    </cfRule>
  </conditionalFormatting>
  <conditionalFormatting sqref="Q90:Q93">
    <cfRule type="colorScale" priority="50">
      <colorScale>
        <cfvo type="num" val="&quot;*,*&quot;"/>
        <cfvo type="max"/>
        <color rgb="FFFF7128"/>
        <color rgb="FFFFEF9C"/>
      </colorScale>
    </cfRule>
  </conditionalFormatting>
  <conditionalFormatting sqref="Q94">
    <cfRule type="colorScale" priority="290">
      <colorScale>
        <cfvo type="num" val="&quot;*,*&quot;"/>
        <cfvo type="max"/>
        <color rgb="FFFF7128"/>
        <color rgb="FFFFEF9C"/>
      </colorScale>
    </cfRule>
  </conditionalFormatting>
  <conditionalFormatting sqref="Q97">
    <cfRule type="colorScale" priority="55">
      <colorScale>
        <cfvo type="num" val="&quot;*,*&quot;"/>
        <cfvo type="max"/>
        <color rgb="FFFF7128"/>
        <color rgb="FFFFEF9C"/>
      </colorScale>
    </cfRule>
  </conditionalFormatting>
  <conditionalFormatting sqref="Q98">
    <cfRule type="colorScale" priority="821">
      <colorScale>
        <cfvo type="num" val="&quot;*,*&quot;"/>
        <cfvo type="max"/>
        <color rgb="FFFF7128"/>
        <color rgb="FFFFEF9C"/>
      </colorScale>
    </cfRule>
  </conditionalFormatting>
  <conditionalFormatting sqref="Q99">
    <cfRule type="colorScale" priority="65">
      <colorScale>
        <cfvo type="num" val="&quot;*,*&quot;"/>
        <cfvo type="max"/>
        <color rgb="FFFF7128"/>
        <color rgb="FFFFEF9C"/>
      </colorScale>
    </cfRule>
  </conditionalFormatting>
  <conditionalFormatting sqref="Q100">
    <cfRule type="colorScale" priority="75">
      <colorScale>
        <cfvo type="num" val="&quot;*,*&quot;"/>
        <cfvo type="max"/>
        <color rgb="FFFF7128"/>
        <color rgb="FFFFEF9C"/>
      </colorScale>
    </cfRule>
  </conditionalFormatting>
  <conditionalFormatting sqref="Q101">
    <cfRule type="colorScale" priority="825">
      <colorScale>
        <cfvo type="num" val="&quot;*,*&quot;"/>
        <cfvo type="max"/>
        <color rgb="FFFF7128"/>
        <color rgb="FFFFEF9C"/>
      </colorScale>
    </cfRule>
  </conditionalFormatting>
  <conditionalFormatting sqref="Q102">
    <cfRule type="colorScale" priority="20">
      <colorScale>
        <cfvo type="num" val="&quot;*,*&quot;"/>
        <cfvo type="max"/>
        <color rgb="FFFF7128"/>
        <color rgb="FFFFEF9C"/>
      </colorScale>
    </cfRule>
  </conditionalFormatting>
  <conditionalFormatting sqref="Q103">
    <cfRule type="colorScale" priority="25">
      <colorScale>
        <cfvo type="num" val="&quot;*,*&quot;"/>
        <cfvo type="max"/>
        <color rgb="FFFF7128"/>
        <color rgb="FFFFEF9C"/>
      </colorScale>
    </cfRule>
  </conditionalFormatting>
  <conditionalFormatting sqref="Q105:Q106 Q86 Q95:Q96">
    <cfRule type="colorScale" priority="817">
      <colorScale>
        <cfvo type="num" val="&quot;*,*&quot;"/>
        <cfvo type="max"/>
        <color rgb="FFFF7128"/>
        <color rgb="FFFFEF9C"/>
      </colorScale>
    </cfRule>
  </conditionalFormatting>
  <conditionalFormatting sqref="Q105:Q113">
    <cfRule type="containsText" dxfId="145" priority="89" operator="containsText" text=",">
      <formula>NOT(ISERROR(SEARCH(",",Q105)))</formula>
    </cfRule>
  </conditionalFormatting>
  <conditionalFormatting sqref="Q109:Q113 Q107">
    <cfRule type="colorScale" priority="283">
      <colorScale>
        <cfvo type="num" val="&quot;*,*&quot;"/>
        <cfvo type="max"/>
        <color rgb="FFFF7128"/>
        <color rgb="FFFFEF9C"/>
      </colorScale>
    </cfRule>
  </conditionalFormatting>
  <conditionalFormatting sqref="Q108">
    <cfRule type="colorScale" priority="140">
      <colorScale>
        <cfvo type="num" val="&quot;*,*&quot;"/>
        <cfvo type="max"/>
        <color rgb="FFFF7128"/>
        <color rgb="FFFFEF9C"/>
      </colorScale>
    </cfRule>
  </conditionalFormatting>
  <conditionalFormatting sqref="Q114:Q121">
    <cfRule type="containsText" dxfId="144" priority="94" operator="containsText" text=",">
      <formula>NOT(ISERROR(SEARCH(",",Q114)))</formula>
    </cfRule>
  </conditionalFormatting>
  <conditionalFormatting sqref="Q114:Q121">
    <cfRule type="colorScale" priority="93">
      <colorScale>
        <cfvo type="num" val="&quot;*,*&quot;"/>
        <cfvo type="max"/>
        <color rgb="FFFF7128"/>
        <color rgb="FFFFEF9C"/>
      </colorScale>
    </cfRule>
  </conditionalFormatting>
  <conditionalFormatting sqref="AC142">
    <cfRule type="cellIs" dxfId="143" priority="165" operator="lessThan">
      <formula>$O$148</formula>
    </cfRule>
    <cfRule type="cellIs" dxfId="142" priority="166" operator="greaterThanOrEqual">
      <formula>$O$148</formula>
    </cfRule>
  </conditionalFormatting>
  <conditionalFormatting sqref="AC146">
    <cfRule type="cellIs" dxfId="141" priority="167" operator="lessThan">
      <formula>$O$147</formula>
    </cfRule>
    <cfRule type="cellIs" dxfId="140" priority="168" operator="greaterThanOrEqual">
      <formula>$O$147</formula>
    </cfRule>
  </conditionalFormatting>
  <conditionalFormatting sqref="BQ20:BQ32 BQ37:BQ122 BQ34:BQ35">
    <cfRule type="cellIs" dxfId="139" priority="11" operator="lessThan">
      <formula>25</formula>
    </cfRule>
    <cfRule type="cellIs" dxfId="138" priority="12" operator="greaterThan">
      <formula>30</formula>
    </cfRule>
    <cfRule type="cellIs" dxfId="137" priority="13" operator="between">
      <formula>25</formula>
      <formula>30</formula>
    </cfRule>
  </conditionalFormatting>
  <conditionalFormatting sqref="Q33">
    <cfRule type="containsText" dxfId="136" priority="9" operator="containsText" text=",">
      <formula>NOT(ISERROR(SEARCH(",",Q33)))</formula>
    </cfRule>
  </conditionalFormatting>
  <conditionalFormatting sqref="Q33">
    <cfRule type="colorScale" priority="10">
      <colorScale>
        <cfvo type="num" val="&quot;*,*&quot;"/>
        <cfvo type="max"/>
        <color rgb="FFFF7128"/>
        <color rgb="FFFFEF9C"/>
      </colorScale>
    </cfRule>
  </conditionalFormatting>
  <conditionalFormatting sqref="BQ33">
    <cfRule type="cellIs" dxfId="135" priority="6" operator="lessThan">
      <formula>25</formula>
    </cfRule>
    <cfRule type="cellIs" dxfId="134" priority="7" operator="greaterThan">
      <formula>30</formula>
    </cfRule>
    <cfRule type="cellIs" dxfId="133" priority="8" operator="between">
      <formula>25</formula>
      <formula>30</formula>
    </cfRule>
  </conditionalFormatting>
  <conditionalFormatting sqref="Q37:Q41 Q34:Q35 Q29:Q32">
    <cfRule type="colorScale" priority="838">
      <colorScale>
        <cfvo type="num" val="&quot;*,*&quot;"/>
        <cfvo type="max"/>
        <color rgb="FFFF7128"/>
        <color rgb="FFFFEF9C"/>
      </colorScale>
    </cfRule>
  </conditionalFormatting>
  <conditionalFormatting sqref="BQ36">
    <cfRule type="cellIs" dxfId="132" priority="1" operator="lessThan">
      <formula>25</formula>
    </cfRule>
    <cfRule type="cellIs" dxfId="131" priority="2" operator="greaterThan">
      <formula>30</formula>
    </cfRule>
    <cfRule type="cellIs" dxfId="130" priority="3" operator="between">
      <formula>25</formula>
      <formula>30</formula>
    </cfRule>
  </conditionalFormatting>
  <conditionalFormatting sqref="Q36">
    <cfRule type="containsText" dxfId="129" priority="4" operator="containsText" text=",">
      <formula>NOT(ISERROR(SEARCH(",",Q36)))</formula>
    </cfRule>
  </conditionalFormatting>
  <conditionalFormatting sqref="Q36">
    <cfRule type="colorScale" priority="5">
      <colorScale>
        <cfvo type="num" val="&quot;*,*&quot;"/>
        <cfvo type="max"/>
        <color rgb="FFFF7128"/>
        <color rgb="FFFFEF9C"/>
      </colorScale>
    </cfRule>
  </conditionalFormatting>
  <dataValidations xWindow="1120" yWindow="908" count="2">
    <dataValidation type="whole" allowBlank="1" showInputMessage="1" showErrorMessage="1" sqref="AU20" xr:uid="{7A62DE0F-D297-48EF-8EB9-44892D4124AB}">
      <formula1>0</formula1>
      <formula2>20</formula2>
    </dataValidation>
    <dataValidation type="whole" allowBlank="1" showInputMessage="1" showErrorMessage="1" errorTitle="WARTOŚĆ NIEPRAWIDŁOWA" error="Suma ECTS musi być liczbą całkowitą" promptTitle="suma ECTS" prompt="Suma ECTS musi być liczbą całkowitą" sqref="Q43:Q60 Q81:Q103 Q62:Q79 Q105:Q121 Q20:Q41" xr:uid="{1A9E8E85-9936-4580-9885-A978F20E3F47}">
      <formula1>0</formula1>
      <formula2>20</formula2>
    </dataValidation>
  </dataValidations>
  <pageMargins left="0.7" right="0.7" top="0.75" bottom="0.75" header="0.3" footer="0.3"/>
  <pageSetup paperSize="9" orientation="landscape" horizontalDpi="300" verticalDpi="300" r:id="rId1"/>
  <ignoredErrors>
    <ignoredError sqref="S21 P175" formulaRange="1"/>
    <ignoredError sqref="BQ18:BR18" numberStoredAsText="1"/>
    <ignoredError sqref="N42 X42:BP42 O141 R42:U42" formula="1"/>
    <ignoredError sqref="V42:W42" formula="1" formulaRange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1120" yWindow="908" count="8">
        <x14:dataValidation type="list" allowBlank="1" showInputMessage="1" showErrorMessage="1" errorTitle="Wartość nieprawidłowa" error="Proszę wybrać formę zakończenia semestru z listy" promptTitle="Forma zakończenia semestru" prompt="Proszę wybrać formę zakończenia semestru z listy" xr:uid="{071D9DFD-A1FB-4A6A-B958-FE7B26EBF3C0}">
          <x14:formula1>
            <xm:f>Słowniki!$G$2:$G$4</xm:f>
          </x14:formula1>
          <xm:sqref>W58:W60 W62:W79 AT62:AT79 AT81:AT103 AT43:AT60 W81:W103 W43:W56 W112:W121 W105:W110 AT105:AT109 AT111:AT121 AT20:AT41 W20:W41</xm:sqref>
        </x14:dataValidation>
        <x14:dataValidation type="list" allowBlank="1" showInputMessage="1" showErrorMessage="1" errorTitle="Wartość nieprawidłowa" error="Proszę wybrać formę zakończenia przedmiotu z listy" promptTitle="Forma zakończenia przedmiotu" prompt="Proszę wybrać formę zakończenia przedmiotu z listy" xr:uid="{AF04B043-5B61-4834-9AC2-CBA0BF9FB9F8}">
          <x14:formula1>
            <xm:f>Słowniki!$L$2:$L$4</xm:f>
          </x14:formula1>
          <xm:sqref>V105:V121 V81:V103 V62:V79 V43:V60 V20:V41</xm:sqref>
        </x14:dataValidation>
        <x14:dataValidation type="list" allowBlank="1" showInputMessage="1" showErrorMessage="1" promptTitle="Kompetencje komunikacyjne" prompt="Proszę wybrać odpowiedź czy przedmiot kształtuje kompetencje komunikacyjne" xr:uid="{D1EF220C-55B4-411A-BC47-EC02EA8281CD}">
          <x14:formula1>
            <xm:f>Słowniki!$O$2:$O$3</xm:f>
          </x14:formula1>
          <xm:sqref>J105:J121 J81:J103 J62:J79 J43:J60 J20:J41</xm:sqref>
        </x14:dataValidation>
        <x14:dataValidation type="list" allowBlank="1" showInputMessage="1" showErrorMessage="1" errorTitle="Wartość nieprawidłowa" error="Proszę wybrać odpowiedź czy przedmiot jest humanistyczny lub społeczny" promptTitle="Przedmiot humanistyczny/społ." prompt="Proszę wybrać odpowiedź czy przedmiot jest humanistyczny lub społeczny" xr:uid="{710C8322-D223-49CD-BD2D-5C47CF5D4205}">
          <x14:formula1>
            <xm:f>Słowniki!$O$2:$O$3</xm:f>
          </x14:formula1>
          <xm:sqref>K62:K79 K43:K60 K81:K103 K105:K121 K20:K41</xm:sqref>
        </x14:dataValidation>
        <x14:dataValidation type="list" allowBlank="1" showInputMessage="1" showErrorMessage="1" errorTitle="Wartość nieprawidłowa" error="Proszę wybrać odpowiedź czy przedmiot kształtuje umiejętności praktyczne" promptTitle="Przedmiot kształtujący umiejętn." prompt="Proszę wybrać odpowiedź czy przedmiot kształtuje umiejętności praktyczne" xr:uid="{F659679C-D505-459F-A764-EB2EBE07E262}">
          <x14:formula1>
            <xm:f>Słowniki!$O$2:$O$3</xm:f>
          </x14:formula1>
          <xm:sqref>L105:L121 L62:L79 L43:L60 L81:L103 L20:L41</xm:sqref>
        </x14:dataValidation>
        <x14:dataValidation type="list" allowBlank="1" showInputMessage="1" showErrorMessage="1" errorTitle="Wartość nieprawidłowa" error="Proszę wybrać z listy kod grupy" promptTitle="Kod grupy zajęć" prompt="Proszę wybrać z listy kod grupy" xr:uid="{44734350-DB85-4147-9961-D2924F549B9E}">
          <x14:formula1>
            <xm:f>Słowniki!$A$2:$A$10</xm:f>
          </x14:formula1>
          <xm:sqref>B20:B122</xm:sqref>
        </x14:dataValidation>
        <x14:dataValidation type="list" allowBlank="1" showInputMessage="1" showErrorMessage="1" errorTitle="Wartość nieprawidłowa" error="Proszę wybrać z listy rodzaj zajęć" promptTitle="Rodzaj zajęć" prompt="Proszę wybrać z listy rodzaj zajęć" xr:uid="{0939FFDB-F913-4DE6-8A4E-9575E719CEFB}">
          <x14:formula1>
            <xm:f>Słowniki!$D$2:$D$4</xm:f>
          </x14:formula1>
          <xm:sqref>G20:G122</xm:sqref>
        </x14:dataValidation>
        <x14:dataValidation type="list" allowBlank="1" showInputMessage="1" showErrorMessage="1" errorTitle="Wartość nieprawidłowa" error="Proszę wybrać z listy pule godzin" promptTitle="Pula godzin" prompt="Proszę wybrać z listy pule godzin" xr:uid="{1D16ABA5-45E7-4C84-B792-D525B0CA2634}">
          <x14:formula1>
            <xm:f>Słowniki!$J$2:$J$3</xm:f>
          </x14:formula1>
          <xm:sqref>H20:H122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B58C0-8CCF-4D27-B6E9-29292904EE30}">
  <sheetPr codeName="Arkusz10"/>
  <dimension ref="A1:R15"/>
  <sheetViews>
    <sheetView topLeftCell="C1" workbookViewId="0">
      <selection activeCell="O1" sqref="O1"/>
    </sheetView>
  </sheetViews>
  <sheetFormatPr defaultColWidth="8.85546875" defaultRowHeight="15" x14ac:dyDescent="0.25"/>
  <cols>
    <col min="1" max="1" width="12.85546875" customWidth="1"/>
    <col min="2" max="2" width="33.140625" customWidth="1"/>
    <col min="3" max="3" width="1.85546875" style="22" customWidth="1"/>
    <col min="4" max="4" width="17.42578125" customWidth="1"/>
    <col min="5" max="5" width="31" customWidth="1"/>
    <col min="6" max="6" width="1.7109375" style="22" customWidth="1"/>
    <col min="7" max="7" width="18.42578125" customWidth="1"/>
    <col min="8" max="8" width="25.85546875" customWidth="1"/>
    <col min="9" max="9" width="1.42578125" style="22" customWidth="1"/>
    <col min="10" max="10" width="42.140625" customWidth="1"/>
    <col min="11" max="11" width="1.42578125" style="22" customWidth="1"/>
    <col min="12" max="12" width="20" customWidth="1"/>
    <col min="13" max="13" width="18.42578125" customWidth="1"/>
    <col min="14" max="14" width="1.42578125" style="22" customWidth="1"/>
    <col min="15" max="15" width="24.42578125" customWidth="1"/>
    <col min="16" max="16" width="1.7109375" style="22" customWidth="1"/>
    <col min="17" max="17" width="8.28515625" customWidth="1"/>
    <col min="18" max="18" width="38.85546875" customWidth="1"/>
  </cols>
  <sheetData>
    <row r="1" spans="1:18" s="4" customFormat="1" ht="114.75" x14ac:dyDescent="0.25">
      <c r="A1" s="95" t="s">
        <v>90</v>
      </c>
      <c r="B1" s="95" t="s">
        <v>82</v>
      </c>
      <c r="C1" s="96"/>
      <c r="D1" s="95" t="s">
        <v>53</v>
      </c>
      <c r="E1" s="95" t="s">
        <v>91</v>
      </c>
      <c r="F1" s="97"/>
      <c r="G1" s="95" t="s">
        <v>111</v>
      </c>
      <c r="H1" s="95" t="s">
        <v>96</v>
      </c>
      <c r="I1" s="97"/>
      <c r="J1" s="4" t="s">
        <v>103</v>
      </c>
      <c r="K1" s="97"/>
      <c r="L1" s="95" t="s">
        <v>110</v>
      </c>
      <c r="M1" s="95" t="s">
        <v>96</v>
      </c>
      <c r="N1" s="97"/>
      <c r="O1" s="1482" t="s">
        <v>972</v>
      </c>
      <c r="P1" s="971"/>
      <c r="Q1" s="1480" t="s">
        <v>670</v>
      </c>
      <c r="R1" s="1480"/>
    </row>
    <row r="2" spans="1:18" x14ac:dyDescent="0.25">
      <c r="A2" s="6" t="s">
        <v>134</v>
      </c>
      <c r="B2" s="4" t="s">
        <v>135</v>
      </c>
      <c r="D2" t="s">
        <v>59</v>
      </c>
      <c r="E2" t="s">
        <v>92</v>
      </c>
      <c r="G2" t="s">
        <v>57</v>
      </c>
      <c r="H2" t="s">
        <v>100</v>
      </c>
      <c r="J2" t="s">
        <v>101</v>
      </c>
      <c r="L2" t="s">
        <v>57</v>
      </c>
      <c r="M2" t="s">
        <v>100</v>
      </c>
      <c r="O2" t="s">
        <v>417</v>
      </c>
      <c r="Q2" s="972" t="s">
        <v>671</v>
      </c>
      <c r="R2" s="972" t="s">
        <v>770</v>
      </c>
    </row>
    <row r="3" spans="1:18" x14ac:dyDescent="0.25">
      <c r="D3" t="s">
        <v>60</v>
      </c>
      <c r="E3" t="s">
        <v>94</v>
      </c>
      <c r="G3" t="s">
        <v>99</v>
      </c>
      <c r="H3" t="s">
        <v>97</v>
      </c>
      <c r="J3" t="s">
        <v>102</v>
      </c>
      <c r="L3" t="s">
        <v>99</v>
      </c>
      <c r="M3" t="s">
        <v>97</v>
      </c>
      <c r="O3" t="s">
        <v>418</v>
      </c>
      <c r="Q3" s="972" t="s">
        <v>672</v>
      </c>
      <c r="R3" s="972" t="s">
        <v>771</v>
      </c>
    </row>
    <row r="4" spans="1:18" x14ac:dyDescent="0.25">
      <c r="D4" t="s">
        <v>95</v>
      </c>
      <c r="E4" t="s">
        <v>93</v>
      </c>
      <c r="L4" t="s">
        <v>56</v>
      </c>
      <c r="M4" t="s">
        <v>98</v>
      </c>
      <c r="Q4" s="844" t="s">
        <v>673</v>
      </c>
      <c r="R4" s="844" t="s">
        <v>772</v>
      </c>
    </row>
    <row r="5" spans="1:18" x14ac:dyDescent="0.25">
      <c r="Q5" s="844" t="s">
        <v>687</v>
      </c>
      <c r="R5" s="844" t="s">
        <v>773</v>
      </c>
    </row>
    <row r="6" spans="1:18" x14ac:dyDescent="0.25">
      <c r="Q6" s="844" t="s">
        <v>774</v>
      </c>
      <c r="R6" s="844" t="s">
        <v>775</v>
      </c>
    </row>
    <row r="7" spans="1:18" x14ac:dyDescent="0.25">
      <c r="Q7" s="844" t="s">
        <v>776</v>
      </c>
      <c r="R7" s="844" t="s">
        <v>777</v>
      </c>
    </row>
    <row r="8" spans="1:18" x14ac:dyDescent="0.25">
      <c r="Q8" s="972" t="s">
        <v>674</v>
      </c>
      <c r="R8" s="972" t="s">
        <v>778</v>
      </c>
    </row>
    <row r="9" spans="1:18" x14ac:dyDescent="0.25">
      <c r="Q9" s="972" t="s">
        <v>675</v>
      </c>
      <c r="R9" s="972" t="s">
        <v>779</v>
      </c>
    </row>
    <row r="10" spans="1:18" x14ac:dyDescent="0.25">
      <c r="Q10" s="972" t="s">
        <v>676</v>
      </c>
      <c r="R10" s="972" t="s">
        <v>780</v>
      </c>
    </row>
    <row r="13" spans="1:18" x14ac:dyDescent="0.25">
      <c r="Q13" s="1481" t="s">
        <v>781</v>
      </c>
      <c r="R13" s="1480"/>
    </row>
    <row r="14" spans="1:18" x14ac:dyDescent="0.25">
      <c r="R14" t="s">
        <v>782</v>
      </c>
    </row>
    <row r="15" spans="1:18" x14ac:dyDescent="0.25">
      <c r="R15" t="s">
        <v>783</v>
      </c>
    </row>
  </sheetData>
  <mergeCells count="2">
    <mergeCell ref="Q1:R1"/>
    <mergeCell ref="Q13:R1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B6A4F-3501-4B24-8F10-4EFD653EA6F2}">
  <sheetPr codeName="Arkusz2"/>
  <dimension ref="A1:J46"/>
  <sheetViews>
    <sheetView workbookViewId="0">
      <pane ySplit="2" topLeftCell="A3" activePane="bottomLeft" state="frozen"/>
      <selection activeCell="M31" sqref="M31"/>
      <selection pane="bottomLeft" activeCell="C20" sqref="C20"/>
    </sheetView>
  </sheetViews>
  <sheetFormatPr defaultColWidth="9.140625" defaultRowHeight="15" x14ac:dyDescent="0.25"/>
  <cols>
    <col min="1" max="1" width="8.140625" style="164" customWidth="1"/>
    <col min="2" max="2" width="29.7109375" style="164" customWidth="1"/>
    <col min="3" max="3" width="53.7109375" style="162" customWidth="1"/>
    <col min="4" max="4" width="15.42578125" style="162" customWidth="1"/>
    <col min="5" max="5" width="12.140625" style="162" customWidth="1"/>
    <col min="6" max="7" width="11.28515625" style="162" customWidth="1"/>
    <col min="8" max="8" width="36.85546875" style="162" customWidth="1"/>
    <col min="9" max="9" width="15" style="162" customWidth="1"/>
    <col min="10" max="10" width="90.28515625" style="162" customWidth="1"/>
    <col min="11" max="16384" width="9.140625" style="162"/>
  </cols>
  <sheetData>
    <row r="1" spans="1:10" ht="14.45" customHeight="1" x14ac:dyDescent="0.25">
      <c r="A1" s="1316" t="s">
        <v>78</v>
      </c>
      <c r="B1" t="s">
        <v>960</v>
      </c>
      <c r="C1" s="1318" t="s">
        <v>429</v>
      </c>
      <c r="D1" s="1286" t="s">
        <v>76</v>
      </c>
      <c r="E1" s="1286"/>
      <c r="F1" s="1286"/>
      <c r="G1" s="1288" t="s">
        <v>80</v>
      </c>
      <c r="H1" s="1289" t="s">
        <v>81</v>
      </c>
      <c r="J1" s="163"/>
    </row>
    <row r="2" spans="1:10" ht="90.75" customHeight="1" thickBot="1" x14ac:dyDescent="0.3">
      <c r="A2" s="1317"/>
      <c r="B2" s="1117"/>
      <c r="C2" s="1319"/>
      <c r="D2" s="257" t="s">
        <v>79</v>
      </c>
      <c r="E2" s="258" t="s">
        <v>426</v>
      </c>
      <c r="F2" s="258" t="s">
        <v>425</v>
      </c>
      <c r="G2" s="1312"/>
      <c r="H2" s="1313"/>
      <c r="J2" s="163" t="s">
        <v>495</v>
      </c>
    </row>
    <row r="3" spans="1:10" ht="30" hidden="1" x14ac:dyDescent="0.25">
      <c r="A3" s="253">
        <v>1</v>
      </c>
      <c r="B3" s="253"/>
      <c r="C3" s="446" t="s">
        <v>520</v>
      </c>
      <c r="D3" s="254"/>
      <c r="E3" s="254"/>
      <c r="F3" s="254"/>
      <c r="G3" s="255">
        <f>SUM(Psychologia!O20:O41,Psychologia!O43:O60,Psychologia!O62:O79,Psychologia!O81:O103,Psychologia!O105:O121)</f>
        <v>5388</v>
      </c>
      <c r="H3" s="256" t="str">
        <f t="shared" ref="H3:H46" si="0">IF(G3=F3,"OK","Wartość wymaga weryfikacji")</f>
        <v>Wartość wymaga weryfikacji</v>
      </c>
      <c r="J3" s="163" t="s">
        <v>495</v>
      </c>
    </row>
    <row r="4" spans="1:10" ht="30" hidden="1" x14ac:dyDescent="0.25">
      <c r="A4" s="222">
        <v>2</v>
      </c>
      <c r="B4" s="222"/>
      <c r="C4" s="438" t="s">
        <v>501</v>
      </c>
      <c r="D4" s="224"/>
      <c r="E4" s="224"/>
      <c r="F4" s="224">
        <v>300</v>
      </c>
      <c r="G4" s="228">
        <f>SUM(Psychologia!Q20:Q41,Psychologia!Q43:Q60,Psychologia!Q62:Q79,Psychologia!Q81:Q103,Psychologia!Q105:Q121)</f>
        <v>356</v>
      </c>
      <c r="H4" s="227" t="str">
        <f t="shared" si="0"/>
        <v>Wartość wymaga weryfikacji</v>
      </c>
      <c r="J4" s="163"/>
    </row>
    <row r="5" spans="1:10" ht="45" hidden="1" x14ac:dyDescent="0.25">
      <c r="A5" s="222">
        <v>3</v>
      </c>
      <c r="B5" s="222"/>
      <c r="C5" s="438" t="s">
        <v>427</v>
      </c>
      <c r="D5" s="225">
        <v>0.5</v>
      </c>
      <c r="E5" s="224">
        <v>300</v>
      </c>
      <c r="F5" s="224">
        <v>60</v>
      </c>
      <c r="G5" s="345">
        <f>SUM(Psychologia!U20:U41,Psychologia!U43:U60,Psychologia!U62:U79,Psychologia!U81:U103,Psychologia!U105:U121)</f>
        <v>209.34779516358466</v>
      </c>
      <c r="H5" s="227" t="str">
        <f t="shared" si="0"/>
        <v>Wartość wymaga weryfikacji</v>
      </c>
    </row>
    <row r="6" spans="1:10" ht="45" hidden="1" x14ac:dyDescent="0.25">
      <c r="A6" s="1314">
        <v>4</v>
      </c>
      <c r="B6" s="1118"/>
      <c r="C6" s="447" t="s">
        <v>558</v>
      </c>
      <c r="D6" s="249">
        <v>0.5</v>
      </c>
      <c r="E6" s="250">
        <v>300</v>
      </c>
      <c r="F6" s="251">
        <f t="shared" ref="F6:F7" si="1">D6*E6</f>
        <v>150</v>
      </c>
      <c r="G6" s="229">
        <f>SUM(Psychologia!T20:T41,Psychologia!T43:T60,Psychologia!T62:T79,Psychologia!T81:T103,Psychologia!T105:T121)</f>
        <v>71.156349206349191</v>
      </c>
      <c r="H6" s="227" t="str">
        <f t="shared" si="0"/>
        <v>Wartość wymaga weryfikacji</v>
      </c>
    </row>
    <row r="7" spans="1:10" ht="45" hidden="1" x14ac:dyDescent="0.25">
      <c r="A7" s="1315"/>
      <c r="B7" s="1119"/>
      <c r="C7" s="447" t="s">
        <v>559</v>
      </c>
      <c r="D7" s="249">
        <v>0.75</v>
      </c>
      <c r="E7" s="250">
        <v>300</v>
      </c>
      <c r="F7" s="251">
        <f t="shared" si="1"/>
        <v>225</v>
      </c>
      <c r="G7" s="229">
        <f>SUM(Psychologia!T20:T41,Psychologia!T43:T60,Psychologia!T62:T79,Psychologia!T81:T103,Psychologia!T105:T121)</f>
        <v>71.156349206349191</v>
      </c>
      <c r="H7" s="227" t="str">
        <f t="shared" si="0"/>
        <v>Wartość wymaga weryfikacji</v>
      </c>
    </row>
    <row r="8" spans="1:10" ht="21" hidden="1" customHeight="1" x14ac:dyDescent="0.25">
      <c r="A8" s="464">
        <v>5</v>
      </c>
      <c r="B8" s="464"/>
      <c r="C8" s="465" t="s">
        <v>521</v>
      </c>
      <c r="D8" s="466">
        <v>0.3</v>
      </c>
      <c r="E8" s="467">
        <v>300</v>
      </c>
      <c r="F8" s="468">
        <f>D8*E8</f>
        <v>90</v>
      </c>
      <c r="G8" s="469">
        <f>(SUMIF(Psychologia!G20:G122,"POW",Psychologia!Q20:Q122))+(SUMIF(Psychologia!G20:G122,"PSW",Psychologia!Q20:Q122))</f>
        <v>161</v>
      </c>
      <c r="H8" s="458" t="str">
        <f t="shared" si="0"/>
        <v>Wartość wymaga weryfikacji</v>
      </c>
      <c r="J8" s="165"/>
    </row>
    <row r="9" spans="1:10" x14ac:dyDescent="0.25">
      <c r="A9" s="470">
        <v>6</v>
      </c>
      <c r="B9" s="1120" t="s">
        <v>968</v>
      </c>
      <c r="C9" s="471" t="s">
        <v>428</v>
      </c>
      <c r="D9" s="472"/>
      <c r="E9" s="473"/>
      <c r="F9" s="474"/>
      <c r="G9" s="475">
        <f>SUM(Psychologia!AN20:AN41,Psychologia!AN43:AN60,Psychologia!AN62:AN79,Psychologia!AN81:AN103,Psychologia!AN105:AN121,Psychologia!BK20:BK41,Psychologia!BK43:BK60,Psychologia!BK62:BK79,Psychologia!BK81:BK103,Psychologia!BK105:BK121)</f>
        <v>120</v>
      </c>
      <c r="H9" s="460" t="str">
        <f t="shared" si="0"/>
        <v>Wartość wymaga weryfikacji</v>
      </c>
      <c r="I9" s="4"/>
    </row>
    <row r="10" spans="1:10" x14ac:dyDescent="0.25">
      <c r="A10" s="476">
        <v>7</v>
      </c>
      <c r="B10" s="1121" t="s">
        <v>962</v>
      </c>
      <c r="C10" s="248" t="s">
        <v>431</v>
      </c>
      <c r="D10" s="224"/>
      <c r="E10" s="224"/>
      <c r="F10" s="224"/>
      <c r="G10" s="452">
        <f>(SUMIF(Psychologia!I20:I122,"*Język obcy*",Psychologia!Q20:Q122))+(SUMIF(Psychologia!I20:I122,"*Język angielski*",Psychologia!Q20:Q122))+(SUMIF(Psychologia!I20:I122,"*lektorat*",Psychologia!Q20:Q122))</f>
        <v>9</v>
      </c>
      <c r="H10" s="461" t="str">
        <f t="shared" si="0"/>
        <v>Wartość wymaga weryfikacji</v>
      </c>
      <c r="I10" s="246" t="s">
        <v>494</v>
      </c>
    </row>
    <row r="11" spans="1:10" ht="75" x14ac:dyDescent="0.25">
      <c r="A11" s="476">
        <v>8</v>
      </c>
      <c r="B11" s="1122" t="s">
        <v>965</v>
      </c>
      <c r="C11" s="223" t="s">
        <v>568</v>
      </c>
      <c r="D11" s="225"/>
      <c r="E11" s="224"/>
      <c r="F11" s="346">
        <v>5</v>
      </c>
      <c r="G11" s="453">
        <f>SUMIF(Psychologia!K20:K122,"tak",Psychologia!Q20:Q122)+SUMIF(Psychologia!K49:K122,"tak",Psychologia!Q49:Q122)</f>
        <v>5</v>
      </c>
      <c r="H11" s="461" t="str">
        <f t="shared" si="0"/>
        <v>OK</v>
      </c>
      <c r="I11" s="246" t="s">
        <v>595</v>
      </c>
    </row>
    <row r="12" spans="1:10" ht="30" x14ac:dyDescent="0.25">
      <c r="A12" s="476">
        <v>9</v>
      </c>
      <c r="B12" s="1122" t="s">
        <v>969</v>
      </c>
      <c r="C12" s="223" t="s">
        <v>561</v>
      </c>
      <c r="D12" s="224" t="s">
        <v>451</v>
      </c>
      <c r="E12" s="224" t="s">
        <v>492</v>
      </c>
      <c r="F12" s="346">
        <f>(6*4*30*60)/45</f>
        <v>960</v>
      </c>
      <c r="G12" s="454">
        <f>SUM(Psychologia!AQ20:AQ41,Psychologia!AQ43:AQ60,Psychologia!AQ62:AQ79,Psychologia!AQ81:AQ103,Psychologia!AQ105:AQ121,Psychologia!BN20:BN41,Psychologia!BN43:BN60,Psychologia!BN62:BN79,Psychologia!BN81:BN103,Psychologia!BN105:BN121)</f>
        <v>960</v>
      </c>
      <c r="H12" s="461" t="str">
        <f t="shared" si="0"/>
        <v>OK</v>
      </c>
      <c r="I12" s="246" t="s">
        <v>493</v>
      </c>
    </row>
    <row r="13" spans="1:10" ht="15.75" thickBot="1" x14ac:dyDescent="0.3">
      <c r="A13" s="477">
        <v>10</v>
      </c>
      <c r="B13" s="527" t="s">
        <v>970</v>
      </c>
      <c r="C13" s="478" t="s">
        <v>560</v>
      </c>
      <c r="D13" s="478"/>
      <c r="E13" s="478"/>
      <c r="F13" s="479"/>
      <c r="G13" s="480">
        <f>(SUMIF(Psychologia!I20:I122,"*praktyki zawodowe*",Psychologia!Q20:Q122))</f>
        <v>36</v>
      </c>
      <c r="H13" s="463"/>
      <c r="I13" s="246"/>
    </row>
    <row r="14" spans="1:10" ht="30" x14ac:dyDescent="0.25">
      <c r="A14" s="541" t="s">
        <v>570</v>
      </c>
      <c r="B14" s="541"/>
      <c r="C14" s="457" t="s">
        <v>571</v>
      </c>
      <c r="D14" s="225"/>
      <c r="E14" s="224"/>
      <c r="F14" s="542"/>
      <c r="G14" s="550">
        <f>SUM(Psychologia!M20:M41,Psychologia!M43:M60,Psychologia!M62:M79,Psychologia!M81:M103,Psychologia!M105:M121)-(SUMIF(Psychologia!D20:D122,"PZ",Psychologia!M20:M122))</f>
        <v>7653</v>
      </c>
      <c r="H14" s="526" t="str">
        <f t="shared" si="0"/>
        <v>Wartość wymaga weryfikacji</v>
      </c>
      <c r="I14" s="246"/>
    </row>
    <row r="15" spans="1:10" ht="30" x14ac:dyDescent="0.25">
      <c r="A15" s="541" t="s">
        <v>597</v>
      </c>
      <c r="B15" s="541"/>
      <c r="C15" s="457" t="s">
        <v>616</v>
      </c>
      <c r="D15" s="225"/>
      <c r="E15" s="224"/>
      <c r="F15" s="542">
        <f>G14/2</f>
        <v>3826.5</v>
      </c>
      <c r="G15" s="543">
        <f>Psychologia!P147-Psychologia!P141</f>
        <v>3688</v>
      </c>
      <c r="H15" s="526" t="str">
        <f t="shared" si="0"/>
        <v>Wartość wymaga weryfikacji</v>
      </c>
      <c r="I15" s="544"/>
    </row>
    <row r="16" spans="1:10" ht="35.25" customHeight="1" x14ac:dyDescent="0.25">
      <c r="A16" s="539" t="s">
        <v>506</v>
      </c>
      <c r="B16" s="1123" t="s">
        <v>961</v>
      </c>
      <c r="C16" s="540" t="s">
        <v>614</v>
      </c>
      <c r="D16" s="533"/>
      <c r="E16" s="533"/>
      <c r="F16" s="533"/>
      <c r="G16" s="534">
        <f>SUM(Psychologia!O20:O41,Psychologia!O43:O60,Psychologia!O62:O79,Psychologia!O81:O103,Psychologia!O105:O121)-(SUMIF(Psychologia!D20:D122,"PZ",Psychologia!O20:O122))</f>
        <v>4648</v>
      </c>
      <c r="H16" s="526" t="str">
        <f t="shared" si="0"/>
        <v>Wartość wymaga weryfikacji</v>
      </c>
      <c r="I16" s="246"/>
    </row>
    <row r="17" spans="1:9" ht="30" customHeight="1" x14ac:dyDescent="0.25">
      <c r="A17" s="483" t="s">
        <v>508</v>
      </c>
      <c r="B17" s="1124"/>
      <c r="C17" s="484" t="s">
        <v>502</v>
      </c>
      <c r="D17" s="346"/>
      <c r="E17" s="346">
        <v>300</v>
      </c>
      <c r="F17" s="346">
        <v>300</v>
      </c>
      <c r="G17" s="455">
        <f>SUM(Psychologia!Q20:Q41,Psychologia!Q43:Q60,Psychologia!Q62:Q79,Psychologia!Q81:Q103,Psychologia!Q105:Q121)-(SUMIF(Psychologia!D20:D122,"PZ",Psychologia!Q20:Q122))</f>
        <v>300</v>
      </c>
      <c r="H17" s="461" t="str">
        <f t="shared" si="0"/>
        <v>OK</v>
      </c>
      <c r="I17" s="246"/>
    </row>
    <row r="18" spans="1:9" ht="45.75" customHeight="1" x14ac:dyDescent="0.25">
      <c r="A18" s="483" t="s">
        <v>598</v>
      </c>
      <c r="B18" s="1124" t="s">
        <v>964</v>
      </c>
      <c r="C18" s="485" t="s">
        <v>617</v>
      </c>
      <c r="D18" s="249">
        <v>0.5</v>
      </c>
      <c r="E18" s="250">
        <v>300</v>
      </c>
      <c r="F18" s="251">
        <f>D18*E18</f>
        <v>150</v>
      </c>
      <c r="G18" s="546">
        <f>(SUMIF(Psychologia!D20:D122,"PK",Psychologia!U20:U122))+(SUMIF(Psychologia!D20:D41,"",Psychologia!U20:U41))+(SUMIF(Psychologia!D43:D60,"",Psychologia!U43:U60))+(SUMIF(Psychologia!D62:D79,"",Psychologia!U62:U79))+(SUMIF(Psychologia!D86:D103,"",Psychologia!U86:U103))+(SUMIF(Psychologia!D105:D121,"",Psychologia!U105:U121))</f>
        <v>169.54779516358462</v>
      </c>
      <c r="H18" s="461" t="str">
        <f t="shared" si="0"/>
        <v>Wartość wymaga weryfikacji</v>
      </c>
      <c r="I18" s="246"/>
    </row>
    <row r="19" spans="1:9" ht="45.75" customHeight="1" x14ac:dyDescent="0.25">
      <c r="A19" s="483" t="s">
        <v>599</v>
      </c>
      <c r="B19" s="1124"/>
      <c r="C19" s="485" t="s">
        <v>618</v>
      </c>
      <c r="D19" s="249">
        <v>0.5</v>
      </c>
      <c r="E19" s="250">
        <v>300</v>
      </c>
      <c r="F19" s="251">
        <f>D19*E19</f>
        <v>150</v>
      </c>
      <c r="G19" s="546">
        <f>((G16*G17)/G14)-G13</f>
        <v>146.203057624461</v>
      </c>
      <c r="H19" s="461" t="str">
        <f t="shared" si="0"/>
        <v>Wartość wymaga weryfikacji</v>
      </c>
      <c r="I19" s="545"/>
    </row>
    <row r="20" spans="1:9" ht="44.25" customHeight="1" x14ac:dyDescent="0.25">
      <c r="A20" s="486" t="s">
        <v>534</v>
      </c>
      <c r="B20" s="1125" t="s">
        <v>963</v>
      </c>
      <c r="C20" s="487" t="s">
        <v>564</v>
      </c>
      <c r="D20" s="249">
        <v>0.5</v>
      </c>
      <c r="E20" s="250">
        <v>300</v>
      </c>
      <c r="F20" s="251">
        <f t="shared" ref="F20" si="2">D20*E20</f>
        <v>150</v>
      </c>
      <c r="G20" s="546">
        <f>(SUMIF(Psychologia!D20:D122,"PK",Psychologia!T20:T122))+(SUMIF(Psychologia!D20:D41,"",Psychologia!T20:T41))+(SUMIF(Psychologia!D43:D60,"",Psychologia!T43:T60))+(SUMIF(Psychologia!D62:D79,"",Psychologia!T62:T79))+(SUMIF(Psychologia!D86:D103,"",Psychologia!T86:T103))+(SUMIF(Psychologia!D105:D121,"",Psychologia!T105:T121))</f>
        <v>58.267027417027414</v>
      </c>
      <c r="H20" s="461" t="str">
        <f t="shared" si="0"/>
        <v>Wartość wymaga weryfikacji</v>
      </c>
      <c r="I20" s="246"/>
    </row>
    <row r="21" spans="1:9" ht="15" customHeight="1" x14ac:dyDescent="0.25">
      <c r="A21" s="486" t="s">
        <v>509</v>
      </c>
      <c r="B21" s="1125" t="s">
        <v>966</v>
      </c>
      <c r="C21" s="484" t="s">
        <v>503</v>
      </c>
      <c r="D21" s="435">
        <v>0.3</v>
      </c>
      <c r="E21" s="436">
        <v>300</v>
      </c>
      <c r="F21" s="346">
        <f>D21*E21</f>
        <v>90</v>
      </c>
      <c r="G21" s="455">
        <f>(SUMIFS(Psychologia!Q20:Q122,Psychologia!D20:D122,"PK",Psychologia!G20:G122,"POW"))+(SUMIFS(Psychologia!Q20:Q122,Psychologia!D20:D122,"PK",Psychologia!G20:G122,"PSW"))+(SUMIFS(Psychologia!Q20:Q122,Psychologia!D20:D122,"",Psychologia!G20:G122,"PSW"))+(SUMIFS(Psychologia!Q20:Q122,Psychologia!D20:D122,"",Psychologia!G20:G122,"POW"))</f>
        <v>105</v>
      </c>
      <c r="H21" s="461" t="str">
        <f t="shared" si="0"/>
        <v>Wartość wymaga weryfikacji</v>
      </c>
      <c r="I21" s="246"/>
    </row>
    <row r="22" spans="1:9" ht="62.25" customHeight="1" x14ac:dyDescent="0.25">
      <c r="A22" s="488" t="s">
        <v>541</v>
      </c>
      <c r="B22" s="1126" t="s">
        <v>971</v>
      </c>
      <c r="C22" s="252" t="s">
        <v>565</v>
      </c>
      <c r="D22" s="225">
        <v>0.5</v>
      </c>
      <c r="E22" s="450">
        <v>300</v>
      </c>
      <c r="F22" s="224">
        <f t="shared" ref="F22" si="3">D22*E22</f>
        <v>150</v>
      </c>
      <c r="G22" s="462">
        <f>(SUMIF(Psychologia!D20:D122,"PK",Psychologia!S20:S122))+(SUMIF(Psychologia!D20:D41,"",Psychologia!S20:S41))+(SUMIF(Psychologia!D43:D60,"",Psychologia!S43:S60))+(SUMIF(Psychologia!D62:D79,"",Psychologia!S62:S79))+(SUMIF(Psychologia!D81:D103,"",Psychologia!S81:S103))+(SUMIF(Psychologia!D105:D121,"",Psychologia!S105:S121))</f>
        <v>151.06186036186037</v>
      </c>
      <c r="H22" s="461" t="str">
        <f t="shared" si="0"/>
        <v>Wartość wymaga weryfikacji</v>
      </c>
      <c r="I22" s="246" t="s">
        <v>615</v>
      </c>
    </row>
    <row r="23" spans="1:9" ht="15" customHeight="1" x14ac:dyDescent="0.25">
      <c r="A23" s="488" t="s">
        <v>546</v>
      </c>
      <c r="B23" s="1127"/>
      <c r="C23" s="485" t="s">
        <v>516</v>
      </c>
      <c r="D23" s="225"/>
      <c r="E23" s="226"/>
      <c r="F23" s="224"/>
      <c r="G23" s="450">
        <f>(SUMIF(Psychologia!D20:D122,"PK",Psychologia!O20:O122))</f>
        <v>735</v>
      </c>
      <c r="H23" s="461" t="str">
        <f t="shared" si="0"/>
        <v>Wartość wymaga weryfikacji</v>
      </c>
      <c r="I23" s="246"/>
    </row>
    <row r="24" spans="1:9" ht="15" customHeight="1" x14ac:dyDescent="0.25">
      <c r="A24" s="488" t="s">
        <v>547</v>
      </c>
      <c r="B24" s="1127"/>
      <c r="C24" s="484" t="s">
        <v>518</v>
      </c>
      <c r="D24" s="435"/>
      <c r="E24" s="436"/>
      <c r="F24" s="346"/>
      <c r="G24" s="450">
        <f>(SUMIF(Psychologia!D20:D122,"PK",Psychologia!Q20:Q122))</f>
        <v>56</v>
      </c>
      <c r="H24" s="461" t="str">
        <f t="shared" si="0"/>
        <v>Wartość wymaga weryfikacji</v>
      </c>
      <c r="I24" s="246"/>
    </row>
    <row r="25" spans="1:9" ht="15" customHeight="1" x14ac:dyDescent="0.25">
      <c r="A25" s="488" t="s">
        <v>554</v>
      </c>
      <c r="B25" s="1126"/>
      <c r="C25" s="457" t="s">
        <v>552</v>
      </c>
      <c r="D25" s="449"/>
      <c r="E25" s="449"/>
      <c r="F25" s="346">
        <v>60</v>
      </c>
      <c r="G25" s="450">
        <f>(SUMIF(Psychologia!D81:D103,"PK",Psychologia!Q81:Q103))+(SUMIF(Psychologia!D81:D103,"",Psychologia!Q81:Q103))</f>
        <v>60</v>
      </c>
      <c r="H25" s="461" t="str">
        <f t="shared" si="0"/>
        <v>OK</v>
      </c>
      <c r="I25" s="246"/>
    </row>
    <row r="26" spans="1:9" ht="15" customHeight="1" x14ac:dyDescent="0.25">
      <c r="A26" s="486" t="s">
        <v>555</v>
      </c>
      <c r="B26" s="1128"/>
      <c r="C26" s="457" t="s">
        <v>553</v>
      </c>
      <c r="D26" s="449"/>
      <c r="E26" s="449"/>
      <c r="F26" s="346">
        <v>60</v>
      </c>
      <c r="G26" s="450">
        <f>(SUMIF(Psychologia!D105:D121,"PK",Psychologia!Q105:Q121))+(SUMIF(Psychologia!D105:D121,"",Psychologia!Q105:Q121))</f>
        <v>60</v>
      </c>
      <c r="H26" s="461" t="str">
        <f t="shared" si="0"/>
        <v>OK</v>
      </c>
      <c r="I26" s="246"/>
    </row>
    <row r="27" spans="1:9" ht="15" customHeight="1" x14ac:dyDescent="0.25">
      <c r="A27" s="531" t="s">
        <v>600</v>
      </c>
      <c r="B27" s="1129"/>
      <c r="C27" s="535" t="s">
        <v>602</v>
      </c>
      <c r="D27" s="536"/>
      <c r="E27" s="536"/>
      <c r="F27" s="533"/>
      <c r="G27" s="537">
        <f>SUM(Psychologia!O81:O103)-(SUMIF(Psychologia!D81:D103,"PZ",Psychologia!O81:O103))</f>
        <v>1005</v>
      </c>
      <c r="H27" s="461" t="str">
        <f t="shared" si="0"/>
        <v>Wartość wymaga weryfikacji</v>
      </c>
      <c r="I27" s="246"/>
    </row>
    <row r="28" spans="1:9" ht="15" customHeight="1" thickBot="1" x14ac:dyDescent="0.3">
      <c r="A28" s="477" t="s">
        <v>601</v>
      </c>
      <c r="B28" s="1130"/>
      <c r="C28" s="538" t="s">
        <v>603</v>
      </c>
      <c r="D28" s="481"/>
      <c r="E28" s="481"/>
      <c r="F28" s="479"/>
      <c r="G28" s="482">
        <f>SUM(Psychologia!O105:O121)-(SUMIF(Psychologia!D105:D122,"PZ",Psychologia!O105:O122))</f>
        <v>645</v>
      </c>
      <c r="H28" s="463" t="str">
        <f t="shared" si="0"/>
        <v>Wartość wymaga weryfikacji</v>
      </c>
      <c r="I28" s="246"/>
    </row>
    <row r="29" spans="1:9" ht="30" customHeight="1" x14ac:dyDescent="0.25">
      <c r="A29" s="489" t="s">
        <v>572</v>
      </c>
      <c r="B29" s="1131"/>
      <c r="C29" s="547" t="s">
        <v>573</v>
      </c>
      <c r="D29" s="548"/>
      <c r="E29" s="548"/>
      <c r="F29" s="459"/>
      <c r="G29" s="549">
        <f>SUM(Psychologia!M20:M41,Psychologia!M43:M60,Psychologia!M62:M79,Psychologia!M81:M103,Psychologia!M105:M121)-(SUMIF(Psychologia!D20:D122,"PK",Psychologia!M20:M122))</f>
        <v>7653</v>
      </c>
      <c r="H29" s="526" t="str">
        <f t="shared" si="0"/>
        <v>Wartość wymaga weryfikacji</v>
      </c>
      <c r="I29" s="246"/>
    </row>
    <row r="30" spans="1:9" ht="30" customHeight="1" x14ac:dyDescent="0.25">
      <c r="A30" s="486" t="s">
        <v>604</v>
      </c>
      <c r="B30" s="1125"/>
      <c r="C30" s="456" t="s">
        <v>620</v>
      </c>
      <c r="D30" s="449"/>
      <c r="E30" s="449"/>
      <c r="F30" s="551">
        <f>G29/2</f>
        <v>3826.5</v>
      </c>
      <c r="G30" s="543">
        <f>Psychologia!P147-Psychologia!P141</f>
        <v>3688</v>
      </c>
      <c r="H30" s="526" t="str">
        <f t="shared" si="0"/>
        <v>Wartość wymaga weryfikacji</v>
      </c>
      <c r="I30" s="246"/>
    </row>
    <row r="31" spans="1:9" ht="30" x14ac:dyDescent="0.25">
      <c r="A31" s="531" t="s">
        <v>507</v>
      </c>
      <c r="B31" s="1129"/>
      <c r="C31" s="532" t="s">
        <v>613</v>
      </c>
      <c r="D31" s="533"/>
      <c r="E31" s="533"/>
      <c r="F31" s="533"/>
      <c r="G31" s="534">
        <f>SUM(Psychologia!O20:O41,Psychologia!O43:O60,Psychologia!O62:O79,Psychologia!O81:O103,Psychologia!O105:O121)-(SUMIF(Psychologia!D20:D122,"PK",Psychologia!O20:O122))</f>
        <v>4653</v>
      </c>
      <c r="H31" s="526" t="str">
        <f t="shared" si="0"/>
        <v>Wartość wymaga weryfikacji</v>
      </c>
      <c r="I31" s="246"/>
    </row>
    <row r="32" spans="1:9" ht="29.25" customHeight="1" x14ac:dyDescent="0.25">
      <c r="A32" s="486" t="s">
        <v>510</v>
      </c>
      <c r="B32" s="1125"/>
      <c r="C32" s="490" t="s">
        <v>504</v>
      </c>
      <c r="D32" s="346"/>
      <c r="E32" s="346">
        <v>300</v>
      </c>
      <c r="F32" s="346">
        <v>300</v>
      </c>
      <c r="G32" s="455">
        <f>SUM(Psychologia!Q20:Q41,Psychologia!Q43:Q60,Psychologia!Q62:Q79,Psychologia!Q81:Q103,Psychologia!Q105:Q121)-(SUMIF(Psychologia!D20:D122,"PK",Psychologia!Q20:Q122))</f>
        <v>300</v>
      </c>
      <c r="H32" s="461" t="str">
        <f t="shared" si="0"/>
        <v>OK</v>
      </c>
      <c r="I32" s="246"/>
    </row>
    <row r="33" spans="1:9" ht="45" x14ac:dyDescent="0.25">
      <c r="A33" s="486" t="s">
        <v>606</v>
      </c>
      <c r="B33" s="1125"/>
      <c r="C33" s="456" t="s">
        <v>621</v>
      </c>
      <c r="D33" s="552">
        <v>0.5</v>
      </c>
      <c r="E33" s="553">
        <v>300</v>
      </c>
      <c r="F33" s="554">
        <f>D33*E33</f>
        <v>150</v>
      </c>
      <c r="G33" s="546">
        <f>(SUMIF(Psychologia!D20:D122,"PZ",Psychologia!U20:U122))+(SUMIF(Psychologia!D20:D41,"",Psychologia!U20:U41))+(SUMIF(Psychologia!D43:D60,"",Psychologia!U43:U60))+(SUMIF(Psychologia!D62:D79,"",Psychologia!U62:U79))+(SUMIF(Psychologia!D86:D103,"",Psychologia!U86:U103))+(SUMIF(Psychologia!D105:D121,"",Psychologia!U105:U121))</f>
        <v>169.74779516358461</v>
      </c>
      <c r="H33" s="461" t="str">
        <f t="shared" si="0"/>
        <v>Wartość wymaga weryfikacji</v>
      </c>
      <c r="I33" s="246"/>
    </row>
    <row r="34" spans="1:9" ht="45.75" customHeight="1" x14ac:dyDescent="0.25">
      <c r="A34" s="486" t="s">
        <v>607</v>
      </c>
      <c r="B34" s="1125"/>
      <c r="C34" s="456" t="s">
        <v>622</v>
      </c>
      <c r="D34" s="552">
        <v>0.5</v>
      </c>
      <c r="E34" s="553">
        <v>300</v>
      </c>
      <c r="F34" s="554">
        <f>D34*E34</f>
        <v>150</v>
      </c>
      <c r="G34" s="546">
        <f>((G31*G32)/G29)-G13</f>
        <v>146.39905919247354</v>
      </c>
      <c r="H34" s="461" t="str">
        <f t="shared" si="0"/>
        <v>Wartość wymaga weryfikacji</v>
      </c>
      <c r="I34" s="246"/>
    </row>
    <row r="35" spans="1:9" ht="45" customHeight="1" x14ac:dyDescent="0.25">
      <c r="A35" s="486" t="s">
        <v>537</v>
      </c>
      <c r="B35" s="1125"/>
      <c r="C35" s="491" t="s">
        <v>566</v>
      </c>
      <c r="D35" s="249">
        <v>0.5</v>
      </c>
      <c r="E35" s="250">
        <v>300</v>
      </c>
      <c r="F35" s="251">
        <f t="shared" ref="F35" si="4">D35*E35</f>
        <v>150</v>
      </c>
      <c r="G35" s="877">
        <f>(SUMIF(Psychologia!D20:D122,"PZ",Psychologia!T20:T122))+(SUMIF(Psychologia!D20:D41,"",Psychologia!T20:T41))+(SUMIF(Psychologia!D43:D60,"",Psychologia!T43:T60))+(SUMIF(Psychologia!D62:D79,"",Psychologia!T62:T79))+(SUMIF(Psychologia!D86:D103,"",Psychologia!T86:T103))+(SUMIF(Psychologia!D105:D121,"",Psychologia!T105:T121))</f>
        <v>58.551298701298698</v>
      </c>
      <c r="H35" s="461" t="str">
        <f t="shared" si="0"/>
        <v>Wartość wymaga weryfikacji</v>
      </c>
      <c r="I35" s="246"/>
    </row>
    <row r="36" spans="1:9" ht="15.75" customHeight="1" x14ac:dyDescent="0.25">
      <c r="A36" s="486" t="s">
        <v>511</v>
      </c>
      <c r="B36" s="1125"/>
      <c r="C36" s="490" t="s">
        <v>505</v>
      </c>
      <c r="D36" s="435">
        <v>0.3</v>
      </c>
      <c r="E36" s="436">
        <v>300</v>
      </c>
      <c r="F36" s="346">
        <f>D36*E36</f>
        <v>90</v>
      </c>
      <c r="G36" s="455">
        <f>(SUMIFS(Psychologia!Q20:Q122,Psychologia!D20:D122,"PZ",Psychologia!G20:G122,"POW"))+(SUMIFS(Psychologia!Q20:Q122,Psychologia!D20:D122,"PZ",Psychologia!G20:G122,"PSW"))+(SUMIFS(Psychologia!Q20:Q122,Psychologia!D20:D122,"",Psychologia!G20:G122,"PSW"))+(SUMIFS(Psychologia!Q20:Q122,Psychologia!D20:D122,"",Psychologia!G20:G122,"POW"))</f>
        <v>105</v>
      </c>
      <c r="H36" s="461" t="str">
        <f t="shared" si="0"/>
        <v>Wartość wymaga weryfikacji</v>
      </c>
      <c r="I36" s="246"/>
    </row>
    <row r="37" spans="1:9" ht="63" customHeight="1" x14ac:dyDescent="0.25">
      <c r="A37" s="492" t="s">
        <v>542</v>
      </c>
      <c r="B37" s="1132"/>
      <c r="C37" s="248" t="s">
        <v>567</v>
      </c>
      <c r="D37" s="225">
        <v>0.5</v>
      </c>
      <c r="E37" s="450">
        <v>300</v>
      </c>
      <c r="F37" s="224">
        <f t="shared" ref="F37" si="5">D37*E37</f>
        <v>150</v>
      </c>
      <c r="G37" s="462">
        <f>(SUMIF(Psychologia!D20:D122,"PZ",Psychologia!S20:S122))+(SUMIF(Psychologia!D20:D41,"",Psychologia!S20:S41))+(SUMIF(Psychologia!D43:D60,"",Psychologia!S43:S60))+(SUMIF(Psychologia!D62:D79,"",Psychologia!S62:S79))+(SUMIF(Psychologia!D81:D103,"",Psychologia!S81:S103))+(SUMIF(Psychologia!D105:D121,"",Psychologia!S105:S121))</f>
        <v>151.34901764901764</v>
      </c>
      <c r="H37" s="461" t="str">
        <f t="shared" si="0"/>
        <v>Wartość wymaga weryfikacji</v>
      </c>
      <c r="I37" s="448" t="s">
        <v>615</v>
      </c>
    </row>
    <row r="38" spans="1:9" x14ac:dyDescent="0.25">
      <c r="A38" s="488" t="s">
        <v>548</v>
      </c>
      <c r="B38" s="1127"/>
      <c r="C38" s="490" t="s">
        <v>517</v>
      </c>
      <c r="D38" s="437"/>
      <c r="E38" s="437"/>
      <c r="F38" s="437"/>
      <c r="G38" s="450">
        <f>(SUMIF(Psychologia!D20:D122,"PZ",Psychologia!O20:O122))</f>
        <v>740</v>
      </c>
      <c r="H38" s="461" t="str">
        <f t="shared" si="0"/>
        <v>Wartość wymaga weryfikacji</v>
      </c>
      <c r="I38" s="246"/>
    </row>
    <row r="39" spans="1:9" x14ac:dyDescent="0.25">
      <c r="A39" s="488" t="s">
        <v>549</v>
      </c>
      <c r="B39" s="1127"/>
      <c r="C39" s="490" t="s">
        <v>519</v>
      </c>
      <c r="D39" s="437"/>
      <c r="E39" s="437"/>
      <c r="F39" s="437"/>
      <c r="G39" s="450">
        <f>(SUMIF(Psychologia!D20:D122,"PZ",Psychologia!Q20:Q122))</f>
        <v>56</v>
      </c>
      <c r="H39" s="461" t="str">
        <f t="shared" si="0"/>
        <v>Wartość wymaga weryfikacji</v>
      </c>
      <c r="I39" s="246"/>
    </row>
    <row r="40" spans="1:9" x14ac:dyDescent="0.25">
      <c r="A40" s="488" t="s">
        <v>554</v>
      </c>
      <c r="B40" s="1127"/>
      <c r="C40" s="456" t="s">
        <v>556</v>
      </c>
      <c r="D40" s="451"/>
      <c r="E40" s="451"/>
      <c r="F40" s="224">
        <v>60</v>
      </c>
      <c r="G40" s="224">
        <f>(SUMIF(Psychologia!D81:D103,"PK",Psychologia!Q81:Q103))+(SUMIF(Psychologia!D81:D103,"",Psychologia!Q81:Q103))</f>
        <v>60</v>
      </c>
      <c r="H40" s="461" t="str">
        <f t="shared" si="0"/>
        <v>OK</v>
      </c>
    </row>
    <row r="41" spans="1:9" x14ac:dyDescent="0.25">
      <c r="A41" s="486" t="s">
        <v>555</v>
      </c>
      <c r="B41" s="1125"/>
      <c r="C41" s="456" t="s">
        <v>557</v>
      </c>
      <c r="D41" s="451"/>
      <c r="E41" s="451"/>
      <c r="F41" s="224">
        <v>60</v>
      </c>
      <c r="G41" s="224">
        <f>(SUMIF(Psychologia!D105:D121,"PK",Psychologia!Q105:Q121))+(SUMIF(Psychologia!D105:D121,"",Psychologia!Q105:Q121))</f>
        <v>60</v>
      </c>
      <c r="H41" s="461" t="str">
        <f t="shared" si="0"/>
        <v>OK</v>
      </c>
    </row>
    <row r="42" spans="1:9" x14ac:dyDescent="0.25">
      <c r="A42" s="525" t="s">
        <v>609</v>
      </c>
      <c r="B42" s="1129"/>
      <c r="C42" s="456" t="s">
        <v>612</v>
      </c>
      <c r="D42" s="451"/>
      <c r="E42" s="451"/>
      <c r="F42" s="224"/>
      <c r="G42" s="224">
        <f>SUM(Psychologia!O81:O103)-(SUMIF(Psychologia!D81:D103,"PK",Psychologia!O81:O103))</f>
        <v>1010</v>
      </c>
      <c r="H42" s="461" t="str">
        <f t="shared" si="0"/>
        <v>Wartość wymaga weryfikacji</v>
      </c>
    </row>
    <row r="43" spans="1:9" ht="15.75" thickBot="1" x14ac:dyDescent="0.3">
      <c r="A43" s="527" t="s">
        <v>610</v>
      </c>
      <c r="B43" s="1130"/>
      <c r="C43" s="528" t="s">
        <v>611</v>
      </c>
      <c r="D43" s="529"/>
      <c r="E43" s="529"/>
      <c r="F43" s="530"/>
      <c r="G43" s="530">
        <f>SUM(Psychologia!O105:O121)-(SUMIF(Psychologia!D105:D122,"PK",Psychologia!O105:O122))</f>
        <v>645</v>
      </c>
      <c r="H43" s="463" t="str">
        <f t="shared" si="0"/>
        <v>Wartość wymaga weryfikacji</v>
      </c>
    </row>
    <row r="44" spans="1:9" ht="30" customHeight="1" x14ac:dyDescent="0.25">
      <c r="A44" s="907">
        <v>18</v>
      </c>
      <c r="B44" s="1133" t="s">
        <v>967</v>
      </c>
      <c r="C44" s="908" t="s">
        <v>569</v>
      </c>
      <c r="D44" s="908"/>
      <c r="E44" s="908"/>
      <c r="F44" s="909">
        <v>60</v>
      </c>
      <c r="G44" s="910">
        <f>SUM(Psychologia!AP20:AP41,Psychologia!AP43:AP60,Psychologia!AP62:AP79,Psychologia!AP81:AP103,Psychologia!AP105:AP121,Psychologia!BM20:BM41,Psychologia!BM43:BM60,Psychologia!BM62:BM79,Psychologia!BM81:BM103,Psychologia!BM105:BM121)</f>
        <v>60</v>
      </c>
      <c r="H44" s="460" t="str">
        <f t="shared" si="0"/>
        <v>OK</v>
      </c>
    </row>
    <row r="45" spans="1:9" ht="15" customHeight="1" x14ac:dyDescent="0.25">
      <c r="A45" s="911" t="s">
        <v>752</v>
      </c>
      <c r="B45" s="1134"/>
      <c r="C45" s="904" t="s">
        <v>753</v>
      </c>
      <c r="D45" s="554"/>
      <c r="E45" s="905">
        <v>25</v>
      </c>
      <c r="F45" s="906">
        <v>30</v>
      </c>
      <c r="G45" s="903">
        <f>G14/G17</f>
        <v>25.51</v>
      </c>
      <c r="H45" s="526" t="str">
        <f t="shared" si="0"/>
        <v>Wartość wymaga weryfikacji</v>
      </c>
    </row>
    <row r="46" spans="1:9" ht="15" customHeight="1" thickBot="1" x14ac:dyDescent="0.3">
      <c r="A46" s="912" t="s">
        <v>754</v>
      </c>
      <c r="B46" s="1135"/>
      <c r="C46" s="913" t="s">
        <v>755</v>
      </c>
      <c r="D46" s="914"/>
      <c r="E46" s="915">
        <v>25</v>
      </c>
      <c r="F46" s="916">
        <v>30</v>
      </c>
      <c r="G46" s="917">
        <f>G29/G32</f>
        <v>25.51</v>
      </c>
      <c r="H46" s="918" t="str">
        <f t="shared" si="0"/>
        <v>Wartość wymaga weryfikacji</v>
      </c>
    </row>
  </sheetData>
  <mergeCells count="6">
    <mergeCell ref="G1:G2"/>
    <mergeCell ref="H1:H2"/>
    <mergeCell ref="A6:A7"/>
    <mergeCell ref="A1:A2"/>
    <mergeCell ref="C1:C2"/>
    <mergeCell ref="D1:F1"/>
  </mergeCells>
  <conditionalFormatting sqref="G3">
    <cfRule type="cellIs" dxfId="128" priority="86" operator="lessThan">
      <formula>$F$3</formula>
    </cfRule>
    <cfRule type="cellIs" dxfId="127" priority="87" operator="greaterThanOrEqual">
      <formula>$F$3</formula>
    </cfRule>
  </conditionalFormatting>
  <conditionalFormatting sqref="G4">
    <cfRule type="cellIs" dxfId="126" priority="84" operator="greaterThanOrEqual">
      <formula>$F$4</formula>
    </cfRule>
    <cfRule type="cellIs" dxfId="125" priority="85" operator="lessThan">
      <formula>$F$4</formula>
    </cfRule>
  </conditionalFormatting>
  <conditionalFormatting sqref="G5">
    <cfRule type="cellIs" dxfId="124" priority="96" operator="lessThan">
      <formula>$F$5</formula>
    </cfRule>
    <cfRule type="cellIs" dxfId="123" priority="97" operator="greaterThanOrEqual">
      <formula>$F$5</formula>
    </cfRule>
  </conditionalFormatting>
  <conditionalFormatting sqref="G6">
    <cfRule type="cellIs" dxfId="122" priority="78" operator="lessThanOrEqual">
      <formula>$F$6</formula>
    </cfRule>
    <cfRule type="cellIs" dxfId="121" priority="79" operator="greaterThan">
      <formula>$F$6</formula>
    </cfRule>
  </conditionalFormatting>
  <conditionalFormatting sqref="G7">
    <cfRule type="cellIs" dxfId="120" priority="76" operator="lessThanOrEqual">
      <formula>$F$7</formula>
    </cfRule>
    <cfRule type="cellIs" dxfId="119" priority="77" operator="greaterThan">
      <formula>$F$7</formula>
    </cfRule>
  </conditionalFormatting>
  <conditionalFormatting sqref="G8">
    <cfRule type="cellIs" dxfId="118" priority="94" operator="lessThan">
      <formula>$F$8</formula>
    </cfRule>
    <cfRule type="cellIs" dxfId="117" priority="95" operator="greaterThanOrEqual">
      <formula>$F$8</formula>
    </cfRule>
  </conditionalFormatting>
  <conditionalFormatting sqref="G9:G10">
    <cfRule type="cellIs" dxfId="116" priority="74" operator="lessThan">
      <formula>1</formula>
    </cfRule>
    <cfRule type="cellIs" dxfId="115" priority="75" operator="greaterThanOrEqual">
      <formula>1</formula>
    </cfRule>
  </conditionalFormatting>
  <conditionalFormatting sqref="G11">
    <cfRule type="cellIs" dxfId="114" priority="90" operator="lessThan">
      <formula>$F$11</formula>
    </cfRule>
    <cfRule type="cellIs" dxfId="113" priority="91" operator="greaterThanOrEqual">
      <formula>$F$11</formula>
    </cfRule>
  </conditionalFormatting>
  <conditionalFormatting sqref="G12">
    <cfRule type="cellIs" dxfId="112" priority="37" operator="lessThan">
      <formula>$F$12</formula>
    </cfRule>
    <cfRule type="cellIs" dxfId="111" priority="38" operator="greaterThanOrEqual">
      <formula>$F$12</formula>
    </cfRule>
  </conditionalFormatting>
  <conditionalFormatting sqref="G13">
    <cfRule type="cellIs" dxfId="110" priority="39" operator="lessThan">
      <formula>$F$13</formula>
    </cfRule>
    <cfRule type="cellIs" dxfId="109" priority="40" operator="greaterThanOrEqual">
      <formula>$F$13</formula>
    </cfRule>
  </conditionalFormatting>
  <conditionalFormatting sqref="G16">
    <cfRule type="cellIs" dxfId="108" priority="60" operator="lessThan">
      <formula>$F$16</formula>
    </cfRule>
    <cfRule type="cellIs" dxfId="107" priority="61" operator="greaterThanOrEqual">
      <formula>$F$16</formula>
    </cfRule>
  </conditionalFormatting>
  <conditionalFormatting sqref="G17">
    <cfRule type="cellIs" dxfId="106" priority="58" operator="lessThan">
      <formula>$F$17</formula>
    </cfRule>
    <cfRule type="cellIs" dxfId="105" priority="59" operator="greaterThanOrEqual">
      <formula>$F$17</formula>
    </cfRule>
  </conditionalFormatting>
  <conditionalFormatting sqref="G18">
    <cfRule type="cellIs" dxfId="104" priority="33" operator="lessThan">
      <formula>$F$18</formula>
    </cfRule>
    <cfRule type="cellIs" dxfId="103" priority="34" operator="greaterThanOrEqual">
      <formula>$F$18</formula>
    </cfRule>
  </conditionalFormatting>
  <conditionalFormatting sqref="G19">
    <cfRule type="cellIs" dxfId="102" priority="13" operator="lessThan">
      <formula>$F$19</formula>
    </cfRule>
    <cfRule type="cellIs" dxfId="101" priority="14" operator="greaterThanOrEqual">
      <formula>$F$19</formula>
    </cfRule>
  </conditionalFormatting>
  <conditionalFormatting sqref="G20">
    <cfRule type="cellIs" dxfId="100" priority="35" operator="lessThanOrEqual">
      <formula>$F$20</formula>
    </cfRule>
    <cfRule type="cellIs" dxfId="99" priority="36" operator="greaterThan">
      <formula>$F$20</formula>
    </cfRule>
  </conditionalFormatting>
  <conditionalFormatting sqref="G21">
    <cfRule type="cellIs" dxfId="98" priority="55" operator="lessThan">
      <formula>$F$21</formula>
    </cfRule>
    <cfRule type="cellIs" dxfId="97" priority="57" operator="greaterThanOrEqual">
      <formula>$F$21</formula>
    </cfRule>
  </conditionalFormatting>
  <conditionalFormatting sqref="G22">
    <cfRule type="cellIs" dxfId="96" priority="31" operator="lessThanOrEqual">
      <formula>$F$22</formula>
    </cfRule>
    <cfRule type="cellIs" dxfId="95" priority="32" operator="greaterThan">
      <formula>$F$22</formula>
    </cfRule>
  </conditionalFormatting>
  <conditionalFormatting sqref="G25">
    <cfRule type="cellIs" dxfId="94" priority="29" operator="notEqual">
      <formula>$F$25</formula>
    </cfRule>
    <cfRule type="cellIs" dxfId="93" priority="30" operator="equal">
      <formula>$F$25</formula>
    </cfRule>
  </conditionalFormatting>
  <conditionalFormatting sqref="G26">
    <cfRule type="cellIs" dxfId="92" priority="27" operator="notEqual">
      <formula>$F$26</formula>
    </cfRule>
    <cfRule type="cellIs" dxfId="91" priority="28" operator="equal">
      <formula>$F$26</formula>
    </cfRule>
  </conditionalFormatting>
  <conditionalFormatting sqref="G31">
    <cfRule type="cellIs" dxfId="90" priority="53" operator="lessThan">
      <formula>$F$31</formula>
    </cfRule>
    <cfRule type="cellIs" dxfId="89" priority="54" operator="greaterThanOrEqual">
      <formula>$F$31</formula>
    </cfRule>
  </conditionalFormatting>
  <conditionalFormatting sqref="G32">
    <cfRule type="cellIs" dxfId="88" priority="51" operator="greaterThanOrEqual">
      <formula>$F$32</formula>
    </cfRule>
    <cfRule type="cellIs" dxfId="87" priority="52" operator="lessThan">
      <formula>$F$32</formula>
    </cfRule>
  </conditionalFormatting>
  <conditionalFormatting sqref="G33">
    <cfRule type="cellIs" dxfId="86" priority="25" operator="lessThan">
      <formula>$F$33</formula>
    </cfRule>
    <cfRule type="cellIs" dxfId="85" priority="26" operator="greaterThanOrEqual">
      <formula>$F$33</formula>
    </cfRule>
  </conditionalFormatting>
  <conditionalFormatting sqref="G34">
    <cfRule type="cellIs" dxfId="84" priority="11" operator="lessThan">
      <formula>$F$34</formula>
    </cfRule>
    <cfRule type="cellIs" dxfId="83" priority="12" operator="greaterThanOrEqual">
      <formula>$F$34</formula>
    </cfRule>
  </conditionalFormatting>
  <conditionalFormatting sqref="G35">
    <cfRule type="cellIs" dxfId="82" priority="23" operator="lessThanOrEqual">
      <formula>$F$35</formula>
    </cfRule>
    <cfRule type="cellIs" dxfId="81" priority="24" operator="greaterThan">
      <formula>$F$35</formula>
    </cfRule>
  </conditionalFormatting>
  <conditionalFormatting sqref="G36">
    <cfRule type="cellIs" dxfId="80" priority="49" operator="lessThan">
      <formula>$F$36</formula>
    </cfRule>
    <cfRule type="cellIs" dxfId="79" priority="50" operator="greaterThanOrEqual">
      <formula>$F$36</formula>
    </cfRule>
  </conditionalFormatting>
  <conditionalFormatting sqref="G37">
    <cfRule type="cellIs" dxfId="78" priority="21" operator="lessThan">
      <formula>$F$37</formula>
    </cfRule>
    <cfRule type="cellIs" dxfId="77" priority="22" operator="greaterThan">
      <formula>$F$37</formula>
    </cfRule>
  </conditionalFormatting>
  <conditionalFormatting sqref="G40">
    <cfRule type="cellIs" dxfId="76" priority="19" operator="equal">
      <formula>$F$40</formula>
    </cfRule>
    <cfRule type="cellIs" dxfId="75" priority="20" operator="notEqual">
      <formula>$F$40</formula>
    </cfRule>
  </conditionalFormatting>
  <conditionalFormatting sqref="G41">
    <cfRule type="cellIs" dxfId="74" priority="17" operator="equal">
      <formula>$F$41</formula>
    </cfRule>
    <cfRule type="cellIs" dxfId="73" priority="18" operator="notEqual">
      <formula>$F$41</formula>
    </cfRule>
  </conditionalFormatting>
  <conditionalFormatting sqref="G44">
    <cfRule type="cellIs" dxfId="72" priority="15" operator="lessThan">
      <formula>$O$176</formula>
    </cfRule>
    <cfRule type="cellIs" dxfId="71" priority="16" operator="greaterThanOrEqual">
      <formula>$O$176</formula>
    </cfRule>
  </conditionalFormatting>
  <conditionalFormatting sqref="G45">
    <cfRule type="cellIs" dxfId="70" priority="6" operator="between">
      <formula>$N$174</formula>
      <formula>"$N$176"</formula>
    </cfRule>
    <cfRule type="cellIs" dxfId="69" priority="7" operator="equal">
      <formula>$O$174</formula>
    </cfRule>
    <cfRule type="cellIs" dxfId="68" priority="8" operator="equal">
      <formula>$N$174</formula>
    </cfRule>
    <cfRule type="cellIs" dxfId="67" priority="9" operator="lessThan">
      <formula>$N$174</formula>
    </cfRule>
    <cfRule type="cellIs" dxfId="66" priority="10" operator="greaterThan">
      <formula>$O$174</formula>
    </cfRule>
  </conditionalFormatting>
  <conditionalFormatting sqref="G46">
    <cfRule type="cellIs" dxfId="65" priority="1" operator="between">
      <formula>$N$175</formula>
      <formula>"$N$177"</formula>
    </cfRule>
    <cfRule type="cellIs" dxfId="64" priority="2" operator="equal">
      <formula>$O$175</formula>
    </cfRule>
    <cfRule type="cellIs" dxfId="63" priority="3" operator="equal">
      <formula>$N$175</formula>
    </cfRule>
    <cfRule type="cellIs" dxfId="62" priority="4" operator="lessThan">
      <formula>$N$175</formula>
    </cfRule>
    <cfRule type="cellIs" dxfId="61" priority="5" operator="greaterThan">
      <formula>$O$175</formula>
    </cfRule>
  </conditionalFormatting>
  <pageMargins left="0.7" right="0.7" top="0.75" bottom="0.75" header="0.3" footer="0.3"/>
  <pageSetup paperSize="9" orientation="portrait" verticalDpi="300" r:id="rId1"/>
  <ignoredErrors>
    <ignoredError sqref="G9 G12 G44" formulaRange="1"/>
    <ignoredError sqref="F1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56E3C-EA51-4355-987F-ECAA0EECA06C}">
  <sheetPr codeName="Arkusz3"/>
  <dimension ref="A1:D146"/>
  <sheetViews>
    <sheetView zoomScaleNormal="100" workbookViewId="0">
      <selection activeCell="C17" sqref="C17"/>
    </sheetView>
  </sheetViews>
  <sheetFormatPr defaultColWidth="8.85546875" defaultRowHeight="15" x14ac:dyDescent="0.25"/>
  <cols>
    <col min="1" max="1" width="26.42578125" customWidth="1"/>
    <col min="2" max="2" width="19.42578125" customWidth="1"/>
    <col min="3" max="3" width="96" style="4" customWidth="1"/>
    <col min="4" max="4" width="11.42578125" style="92" customWidth="1"/>
  </cols>
  <sheetData>
    <row r="1" spans="1:4" s="1" customFormat="1" ht="60" customHeight="1" x14ac:dyDescent="0.25">
      <c r="A1" s="95" t="s">
        <v>784</v>
      </c>
      <c r="B1" s="95" t="s">
        <v>785</v>
      </c>
      <c r="C1" s="95" t="s">
        <v>916</v>
      </c>
      <c r="D1" s="1065" t="s">
        <v>670</v>
      </c>
    </row>
    <row r="2" spans="1:4" ht="75" x14ac:dyDescent="0.25">
      <c r="A2" s="975" t="s">
        <v>782</v>
      </c>
      <c r="B2" s="975" t="s">
        <v>139</v>
      </c>
      <c r="C2" s="973" t="s">
        <v>876</v>
      </c>
      <c r="D2" s="977" t="s">
        <v>671</v>
      </c>
    </row>
    <row r="3" spans="1:4" ht="60" x14ac:dyDescent="0.25">
      <c r="A3" s="975" t="s">
        <v>782</v>
      </c>
      <c r="B3" s="975" t="s">
        <v>141</v>
      </c>
      <c r="C3" s="973" t="s">
        <v>877</v>
      </c>
      <c r="D3" s="977" t="s">
        <v>671</v>
      </c>
    </row>
    <row r="4" spans="1:4" ht="60" x14ac:dyDescent="0.25">
      <c r="A4" s="975" t="s">
        <v>782</v>
      </c>
      <c r="B4" s="975" t="s">
        <v>143</v>
      </c>
      <c r="C4" s="973" t="s">
        <v>878</v>
      </c>
      <c r="D4" s="977" t="s">
        <v>671</v>
      </c>
    </row>
    <row r="5" spans="1:4" ht="51" customHeight="1" x14ac:dyDescent="0.25">
      <c r="A5" s="975" t="s">
        <v>782</v>
      </c>
      <c r="B5" s="975" t="s">
        <v>145</v>
      </c>
      <c r="C5" s="973" t="s">
        <v>879</v>
      </c>
      <c r="D5" s="977" t="s">
        <v>671</v>
      </c>
    </row>
    <row r="6" spans="1:4" ht="60" x14ac:dyDescent="0.25">
      <c r="A6" s="975" t="s">
        <v>782</v>
      </c>
      <c r="B6" s="975" t="s">
        <v>147</v>
      </c>
      <c r="C6" s="973" t="s">
        <v>880</v>
      </c>
      <c r="D6" s="977" t="s">
        <v>671</v>
      </c>
    </row>
    <row r="7" spans="1:4" ht="45" x14ac:dyDescent="0.25">
      <c r="A7" s="975" t="s">
        <v>782</v>
      </c>
      <c r="B7" s="975" t="s">
        <v>149</v>
      </c>
      <c r="C7" s="973" t="s">
        <v>881</v>
      </c>
      <c r="D7" s="977" t="s">
        <v>671</v>
      </c>
    </row>
    <row r="8" spans="1:4" ht="75" x14ac:dyDescent="0.25">
      <c r="A8" s="975" t="s">
        <v>782</v>
      </c>
      <c r="B8" s="975" t="s">
        <v>151</v>
      </c>
      <c r="C8" s="973" t="s">
        <v>882</v>
      </c>
      <c r="D8" s="977" t="s">
        <v>671</v>
      </c>
    </row>
    <row r="9" spans="1:4" ht="91.5" customHeight="1" x14ac:dyDescent="0.25">
      <c r="A9" s="975" t="s">
        <v>782</v>
      </c>
      <c r="B9" s="975" t="s">
        <v>153</v>
      </c>
      <c r="C9" s="973" t="s">
        <v>883</v>
      </c>
      <c r="D9" s="977" t="s">
        <v>671</v>
      </c>
    </row>
    <row r="10" spans="1:4" ht="75" x14ac:dyDescent="0.25">
      <c r="A10" s="975" t="s">
        <v>782</v>
      </c>
      <c r="B10" s="975" t="s">
        <v>155</v>
      </c>
      <c r="C10" s="973" t="s">
        <v>884</v>
      </c>
      <c r="D10" s="977" t="s">
        <v>671</v>
      </c>
    </row>
    <row r="11" spans="1:4" ht="90" x14ac:dyDescent="0.25">
      <c r="A11" s="975" t="s">
        <v>782</v>
      </c>
      <c r="B11" s="976" t="s">
        <v>157</v>
      </c>
      <c r="C11" s="973" t="s">
        <v>885</v>
      </c>
      <c r="D11" s="977" t="s">
        <v>671</v>
      </c>
    </row>
    <row r="12" spans="1:4" ht="96" customHeight="1" x14ac:dyDescent="0.25">
      <c r="A12" s="975" t="s">
        <v>782</v>
      </c>
      <c r="B12" s="976" t="s">
        <v>159</v>
      </c>
      <c r="C12" s="973" t="s">
        <v>886</v>
      </c>
      <c r="D12" s="977" t="s">
        <v>672</v>
      </c>
    </row>
    <row r="13" spans="1:4" ht="75" x14ac:dyDescent="0.25">
      <c r="A13" s="975" t="s">
        <v>782</v>
      </c>
      <c r="B13" s="976" t="s">
        <v>161</v>
      </c>
      <c r="C13" s="973" t="s">
        <v>887</v>
      </c>
      <c r="D13" s="977" t="s">
        <v>672</v>
      </c>
    </row>
    <row r="14" spans="1:4" ht="30" x14ac:dyDescent="0.25">
      <c r="A14" s="1098" t="s">
        <v>783</v>
      </c>
      <c r="B14" s="1099" t="s">
        <v>928</v>
      </c>
      <c r="C14" s="1100" t="s">
        <v>941</v>
      </c>
      <c r="D14" s="1099"/>
    </row>
    <row r="15" spans="1:4" ht="30" x14ac:dyDescent="0.25">
      <c r="A15" s="1098" t="s">
        <v>783</v>
      </c>
      <c r="B15" s="1099" t="s">
        <v>929</v>
      </c>
      <c r="C15" s="1100" t="s">
        <v>940</v>
      </c>
      <c r="D15" s="1099"/>
    </row>
    <row r="16" spans="1:4" ht="30" x14ac:dyDescent="0.25">
      <c r="A16" s="1098" t="s">
        <v>783</v>
      </c>
      <c r="B16" s="1099" t="s">
        <v>930</v>
      </c>
      <c r="C16" s="1100" t="s">
        <v>934</v>
      </c>
      <c r="D16" s="1099"/>
    </row>
    <row r="17" spans="1:4" ht="30" x14ac:dyDescent="0.25">
      <c r="A17" s="1098" t="s">
        <v>783</v>
      </c>
      <c r="B17" s="1099" t="s">
        <v>931</v>
      </c>
      <c r="C17" s="1100" t="s">
        <v>935</v>
      </c>
      <c r="D17" s="1099"/>
    </row>
    <row r="18" spans="1:4" ht="30" x14ac:dyDescent="0.25">
      <c r="A18" s="1098" t="s">
        <v>783</v>
      </c>
      <c r="B18" s="1099" t="s">
        <v>932</v>
      </c>
      <c r="C18" s="1100" t="s">
        <v>936</v>
      </c>
      <c r="D18" s="1099"/>
    </row>
    <row r="19" spans="1:4" ht="30" x14ac:dyDescent="0.25">
      <c r="A19" s="1098" t="s">
        <v>783</v>
      </c>
      <c r="B19" s="1099" t="s">
        <v>933</v>
      </c>
      <c r="C19" s="1100" t="s">
        <v>937</v>
      </c>
      <c r="D19" s="1099"/>
    </row>
    <row r="20" spans="1:4" x14ac:dyDescent="0.25">
      <c r="A20" s="975" t="s">
        <v>783</v>
      </c>
      <c r="B20" s="975" t="s">
        <v>786</v>
      </c>
      <c r="C20" s="973"/>
      <c r="D20" s="977"/>
    </row>
    <row r="21" spans="1:4" x14ac:dyDescent="0.25">
      <c r="A21" s="975" t="s">
        <v>783</v>
      </c>
      <c r="B21" s="975" t="s">
        <v>787</v>
      </c>
      <c r="C21" s="973"/>
      <c r="D21" s="977"/>
    </row>
    <row r="22" spans="1:4" x14ac:dyDescent="0.25">
      <c r="A22" s="975" t="s">
        <v>783</v>
      </c>
      <c r="B22" s="975" t="s">
        <v>788</v>
      </c>
      <c r="C22" s="973"/>
      <c r="D22" s="977"/>
    </row>
    <row r="23" spans="1:4" x14ac:dyDescent="0.25">
      <c r="A23" s="975" t="s">
        <v>783</v>
      </c>
      <c r="B23" s="975" t="s">
        <v>789</v>
      </c>
      <c r="C23" s="973"/>
      <c r="D23" s="977"/>
    </row>
    <row r="24" spans="1:4" x14ac:dyDescent="0.25">
      <c r="A24" s="975" t="s">
        <v>783</v>
      </c>
      <c r="B24" s="975" t="s">
        <v>790</v>
      </c>
      <c r="C24" s="973"/>
      <c r="D24" s="977"/>
    </row>
    <row r="25" spans="1:4" x14ac:dyDescent="0.25">
      <c r="A25" s="975" t="s">
        <v>783</v>
      </c>
      <c r="B25" s="975" t="s">
        <v>791</v>
      </c>
      <c r="C25" s="973"/>
      <c r="D25" s="977"/>
    </row>
    <row r="26" spans="1:4" x14ac:dyDescent="0.25">
      <c r="A26" s="975" t="s">
        <v>783</v>
      </c>
      <c r="B26" s="975" t="s">
        <v>792</v>
      </c>
      <c r="C26" s="973"/>
      <c r="D26" s="977"/>
    </row>
    <row r="27" spans="1:4" x14ac:dyDescent="0.25">
      <c r="A27" s="975" t="s">
        <v>783</v>
      </c>
      <c r="B27" s="975" t="s">
        <v>793</v>
      </c>
      <c r="C27" s="973"/>
      <c r="D27" s="977"/>
    </row>
    <row r="28" spans="1:4" x14ac:dyDescent="0.25">
      <c r="A28" s="975" t="s">
        <v>783</v>
      </c>
      <c r="B28" s="975" t="s">
        <v>794</v>
      </c>
      <c r="C28" s="973"/>
      <c r="D28" s="977"/>
    </row>
    <row r="29" spans="1:4" x14ac:dyDescent="0.25">
      <c r="A29" s="975" t="s">
        <v>783</v>
      </c>
      <c r="B29" s="975" t="s">
        <v>795</v>
      </c>
      <c r="C29" s="973"/>
      <c r="D29" s="977"/>
    </row>
    <row r="30" spans="1:4" x14ac:dyDescent="0.25">
      <c r="A30" s="975" t="s">
        <v>783</v>
      </c>
      <c r="B30" s="975" t="s">
        <v>796</v>
      </c>
      <c r="C30" s="973"/>
      <c r="D30" s="977"/>
    </row>
    <row r="31" spans="1:4" x14ac:dyDescent="0.25">
      <c r="A31" s="975" t="s">
        <v>783</v>
      </c>
      <c r="B31" s="975" t="s">
        <v>797</v>
      </c>
      <c r="C31" s="973"/>
      <c r="D31" s="977"/>
    </row>
    <row r="32" spans="1:4" x14ac:dyDescent="0.25">
      <c r="A32" s="975" t="s">
        <v>783</v>
      </c>
      <c r="B32" s="975" t="s">
        <v>798</v>
      </c>
      <c r="C32" s="973"/>
      <c r="D32" s="977"/>
    </row>
    <row r="33" spans="1:4" x14ac:dyDescent="0.25">
      <c r="A33" s="975" t="s">
        <v>783</v>
      </c>
      <c r="B33" s="975" t="s">
        <v>799</v>
      </c>
      <c r="C33" s="973"/>
      <c r="D33" s="977"/>
    </row>
    <row r="34" spans="1:4" x14ac:dyDescent="0.25">
      <c r="A34" s="975" t="s">
        <v>783</v>
      </c>
      <c r="B34" s="975" t="s">
        <v>800</v>
      </c>
      <c r="C34" s="973"/>
      <c r="D34" s="977"/>
    </row>
    <row r="35" spans="1:4" x14ac:dyDescent="0.25">
      <c r="A35" s="975" t="s">
        <v>783</v>
      </c>
      <c r="B35" s="975" t="s">
        <v>801</v>
      </c>
      <c r="C35" s="973"/>
      <c r="D35" s="977"/>
    </row>
    <row r="36" spans="1:4" x14ac:dyDescent="0.25">
      <c r="A36" s="975" t="s">
        <v>783</v>
      </c>
      <c r="B36" s="975" t="s">
        <v>802</v>
      </c>
      <c r="C36" s="973"/>
      <c r="D36" s="977"/>
    </row>
    <row r="37" spans="1:4" x14ac:dyDescent="0.25">
      <c r="A37" s="975" t="s">
        <v>783</v>
      </c>
      <c r="B37" s="975" t="s">
        <v>803</v>
      </c>
      <c r="C37" s="973"/>
      <c r="D37" s="977"/>
    </row>
    <row r="38" spans="1:4" x14ac:dyDescent="0.25">
      <c r="A38" s="975" t="s">
        <v>783</v>
      </c>
      <c r="B38" s="975" t="s">
        <v>804</v>
      </c>
      <c r="C38" s="973"/>
      <c r="D38" s="977"/>
    </row>
    <row r="39" spans="1:4" x14ac:dyDescent="0.25">
      <c r="A39" s="975" t="s">
        <v>783</v>
      </c>
      <c r="B39" s="975" t="s">
        <v>805</v>
      </c>
      <c r="C39" s="973"/>
      <c r="D39" s="977"/>
    </row>
    <row r="40" spans="1:4" x14ac:dyDescent="0.25">
      <c r="A40" s="975" t="s">
        <v>783</v>
      </c>
      <c r="B40" s="975" t="s">
        <v>806</v>
      </c>
      <c r="C40" s="973"/>
      <c r="D40" s="977"/>
    </row>
    <row r="41" spans="1:4" x14ac:dyDescent="0.25">
      <c r="A41" s="975" t="s">
        <v>783</v>
      </c>
      <c r="B41" s="975" t="s">
        <v>807</v>
      </c>
      <c r="C41" s="973"/>
      <c r="D41" s="977"/>
    </row>
    <row r="42" spans="1:4" x14ac:dyDescent="0.25">
      <c r="A42" s="975" t="s">
        <v>783</v>
      </c>
      <c r="B42" s="975" t="s">
        <v>808</v>
      </c>
      <c r="C42" s="973"/>
      <c r="D42" s="977"/>
    </row>
    <row r="43" spans="1:4" x14ac:dyDescent="0.25">
      <c r="A43" s="975" t="s">
        <v>783</v>
      </c>
      <c r="B43" s="975" t="s">
        <v>809</v>
      </c>
      <c r="C43" s="973"/>
      <c r="D43" s="977"/>
    </row>
    <row r="44" spans="1:4" x14ac:dyDescent="0.25">
      <c r="A44" s="975" t="s">
        <v>783</v>
      </c>
      <c r="B44" s="975" t="s">
        <v>810</v>
      </c>
      <c r="C44" s="973"/>
      <c r="D44" s="977"/>
    </row>
    <row r="45" spans="1:4" ht="60" x14ac:dyDescent="0.25">
      <c r="A45" s="1079" t="s">
        <v>782</v>
      </c>
      <c r="B45" s="1080" t="s">
        <v>267</v>
      </c>
      <c r="C45" s="1081" t="s">
        <v>888</v>
      </c>
      <c r="D45" s="1082"/>
    </row>
    <row r="46" spans="1:4" ht="45" x14ac:dyDescent="0.25">
      <c r="A46" s="1079" t="s">
        <v>782</v>
      </c>
      <c r="B46" s="1080" t="s">
        <v>269</v>
      </c>
      <c r="C46" s="1081" t="s">
        <v>889</v>
      </c>
      <c r="D46" s="1082"/>
    </row>
    <row r="47" spans="1:4" ht="60" x14ac:dyDescent="0.25">
      <c r="A47" s="1079" t="s">
        <v>782</v>
      </c>
      <c r="B47" s="1080" t="s">
        <v>271</v>
      </c>
      <c r="C47" s="1081" t="s">
        <v>890</v>
      </c>
      <c r="D47" s="1082"/>
    </row>
    <row r="48" spans="1:4" ht="60" x14ac:dyDescent="0.25">
      <c r="A48" s="1079" t="s">
        <v>782</v>
      </c>
      <c r="B48" s="1080" t="s">
        <v>273</v>
      </c>
      <c r="C48" s="1081" t="s">
        <v>891</v>
      </c>
      <c r="D48" s="1082"/>
    </row>
    <row r="49" spans="1:4" ht="60" x14ac:dyDescent="0.25">
      <c r="A49" s="1079" t="s">
        <v>782</v>
      </c>
      <c r="B49" s="1080" t="s">
        <v>275</v>
      </c>
      <c r="C49" s="1081" t="s">
        <v>892</v>
      </c>
      <c r="D49" s="1082"/>
    </row>
    <row r="50" spans="1:4" ht="45" x14ac:dyDescent="0.25">
      <c r="A50" s="1079" t="s">
        <v>782</v>
      </c>
      <c r="B50" s="1080" t="s">
        <v>277</v>
      </c>
      <c r="C50" s="1081" t="s">
        <v>893</v>
      </c>
      <c r="D50" s="1082"/>
    </row>
    <row r="51" spans="1:4" ht="45" x14ac:dyDescent="0.25">
      <c r="A51" s="1079" t="s">
        <v>782</v>
      </c>
      <c r="B51" s="1080" t="s">
        <v>279</v>
      </c>
      <c r="C51" s="1081" t="s">
        <v>894</v>
      </c>
      <c r="D51" s="1082"/>
    </row>
    <row r="52" spans="1:4" ht="48.75" customHeight="1" x14ac:dyDescent="0.25">
      <c r="A52" s="1079" t="s">
        <v>782</v>
      </c>
      <c r="B52" s="1080" t="s">
        <v>281</v>
      </c>
      <c r="C52" s="1081" t="s">
        <v>895</v>
      </c>
      <c r="D52" s="1082"/>
    </row>
    <row r="53" spans="1:4" ht="60" customHeight="1" x14ac:dyDescent="0.25">
      <c r="A53" s="1079" t="s">
        <v>782</v>
      </c>
      <c r="B53" s="1080" t="s">
        <v>283</v>
      </c>
      <c r="C53" s="1081" t="s">
        <v>896</v>
      </c>
      <c r="D53" s="1082"/>
    </row>
    <row r="54" spans="1:4" ht="60" x14ac:dyDescent="0.25">
      <c r="A54" s="1079" t="s">
        <v>782</v>
      </c>
      <c r="B54" s="1080" t="s">
        <v>285</v>
      </c>
      <c r="C54" s="1081" t="s">
        <v>897</v>
      </c>
      <c r="D54" s="1082"/>
    </row>
    <row r="55" spans="1:4" ht="30" x14ac:dyDescent="0.25">
      <c r="A55" s="1079" t="s">
        <v>782</v>
      </c>
      <c r="B55" s="1080" t="s">
        <v>287</v>
      </c>
      <c r="C55" s="1081" t="s">
        <v>898</v>
      </c>
      <c r="D55" s="1082"/>
    </row>
    <row r="56" spans="1:4" ht="45" x14ac:dyDescent="0.25">
      <c r="A56" s="1079" t="s">
        <v>782</v>
      </c>
      <c r="B56" s="1080" t="s">
        <v>289</v>
      </c>
      <c r="C56" s="1081" t="s">
        <v>899</v>
      </c>
      <c r="D56" s="1082"/>
    </row>
    <row r="57" spans="1:4" ht="30" x14ac:dyDescent="0.25">
      <c r="A57" s="1079" t="s">
        <v>782</v>
      </c>
      <c r="B57" s="1080" t="s">
        <v>291</v>
      </c>
      <c r="C57" s="1081" t="s">
        <v>900</v>
      </c>
      <c r="D57" s="1082"/>
    </row>
    <row r="58" spans="1:4" ht="45" x14ac:dyDescent="0.25">
      <c r="A58" s="1079" t="s">
        <v>782</v>
      </c>
      <c r="B58" s="1080" t="s">
        <v>293</v>
      </c>
      <c r="C58" s="1081" t="s">
        <v>901</v>
      </c>
      <c r="D58" s="1082"/>
    </row>
    <row r="59" spans="1:4" ht="45" x14ac:dyDescent="0.25">
      <c r="A59" s="1079" t="s">
        <v>782</v>
      </c>
      <c r="B59" s="1080" t="s">
        <v>295</v>
      </c>
      <c r="C59" s="1081" t="s">
        <v>902</v>
      </c>
      <c r="D59" s="1082"/>
    </row>
    <row r="60" spans="1:4" ht="45" x14ac:dyDescent="0.25">
      <c r="A60" s="1079" t="s">
        <v>782</v>
      </c>
      <c r="B60" s="1080" t="s">
        <v>297</v>
      </c>
      <c r="C60" s="1081" t="s">
        <v>903</v>
      </c>
      <c r="D60" s="1082"/>
    </row>
    <row r="61" spans="1:4" ht="30" x14ac:dyDescent="0.25">
      <c r="A61" s="1079" t="s">
        <v>782</v>
      </c>
      <c r="B61" s="1080" t="s">
        <v>299</v>
      </c>
      <c r="C61" s="1081" t="s">
        <v>904</v>
      </c>
      <c r="D61" s="1082"/>
    </row>
    <row r="62" spans="1:4" ht="51" customHeight="1" x14ac:dyDescent="0.25">
      <c r="A62" s="1079" t="s">
        <v>782</v>
      </c>
      <c r="B62" s="1080" t="s">
        <v>301</v>
      </c>
      <c r="C62" s="1081" t="s">
        <v>905</v>
      </c>
      <c r="D62" s="1082"/>
    </row>
    <row r="63" spans="1:4" ht="45" x14ac:dyDescent="0.25">
      <c r="A63" s="1079" t="s">
        <v>782</v>
      </c>
      <c r="B63" s="1080" t="s">
        <v>303</v>
      </c>
      <c r="C63" s="1081" t="s">
        <v>906</v>
      </c>
      <c r="D63" s="1082"/>
    </row>
    <row r="64" spans="1:4" ht="45" x14ac:dyDescent="0.25">
      <c r="A64" s="1079" t="s">
        <v>782</v>
      </c>
      <c r="B64" s="1080" t="s">
        <v>305</v>
      </c>
      <c r="C64" s="1081" t="s">
        <v>907</v>
      </c>
      <c r="D64" s="1082"/>
    </row>
    <row r="65" spans="1:4" ht="45" x14ac:dyDescent="0.25">
      <c r="A65" s="1081" t="s">
        <v>782</v>
      </c>
      <c r="B65" s="1080" t="s">
        <v>307</v>
      </c>
      <c r="C65" s="1081" t="s">
        <v>908</v>
      </c>
      <c r="D65" s="1082"/>
    </row>
    <row r="66" spans="1:4" ht="45" x14ac:dyDescent="0.25">
      <c r="A66" s="1081" t="s">
        <v>782</v>
      </c>
      <c r="B66" s="1080" t="s">
        <v>309</v>
      </c>
      <c r="C66" s="1081" t="s">
        <v>909</v>
      </c>
      <c r="D66" s="1082"/>
    </row>
    <row r="67" spans="1:4" ht="45" x14ac:dyDescent="0.25">
      <c r="A67" s="1081" t="s">
        <v>782</v>
      </c>
      <c r="B67" s="1080" t="s">
        <v>311</v>
      </c>
      <c r="C67" s="1081" t="s">
        <v>910</v>
      </c>
      <c r="D67" s="1082"/>
    </row>
    <row r="68" spans="1:4" ht="45" x14ac:dyDescent="0.25">
      <c r="A68" s="1081" t="s">
        <v>782</v>
      </c>
      <c r="B68" s="1080" t="s">
        <v>313</v>
      </c>
      <c r="C68" s="1081" t="s">
        <v>911</v>
      </c>
      <c r="D68" s="1082"/>
    </row>
    <row r="69" spans="1:4" ht="45" x14ac:dyDescent="0.25">
      <c r="A69" s="1081" t="s">
        <v>782</v>
      </c>
      <c r="B69" s="1080" t="s">
        <v>315</v>
      </c>
      <c r="C69" s="1081" t="s">
        <v>912</v>
      </c>
      <c r="D69" s="1082"/>
    </row>
    <row r="70" spans="1:4" ht="45" x14ac:dyDescent="0.25">
      <c r="A70" s="1081" t="s">
        <v>782</v>
      </c>
      <c r="B70" s="1080" t="s">
        <v>317</v>
      </c>
      <c r="C70" s="1081" t="s">
        <v>913</v>
      </c>
      <c r="D70" s="1082"/>
    </row>
    <row r="71" spans="1:4" ht="75" x14ac:dyDescent="0.25">
      <c r="A71" s="1081" t="s">
        <v>782</v>
      </c>
      <c r="B71" s="1080" t="s">
        <v>319</v>
      </c>
      <c r="C71" s="1081" t="s">
        <v>914</v>
      </c>
      <c r="D71" s="1082"/>
    </row>
    <row r="72" spans="1:4" ht="69" customHeight="1" x14ac:dyDescent="0.25">
      <c r="A72" s="1081" t="s">
        <v>782</v>
      </c>
      <c r="B72" s="1080" t="s">
        <v>321</v>
      </c>
      <c r="C72" s="1081" t="s">
        <v>915</v>
      </c>
      <c r="D72" s="1082"/>
    </row>
    <row r="73" spans="1:4" x14ac:dyDescent="0.25">
      <c r="A73" s="1081" t="s">
        <v>783</v>
      </c>
      <c r="B73" s="1083" t="s">
        <v>811</v>
      </c>
      <c r="C73" s="1081"/>
      <c r="D73" s="1082"/>
    </row>
    <row r="74" spans="1:4" x14ac:dyDescent="0.25">
      <c r="A74" s="1081" t="s">
        <v>783</v>
      </c>
      <c r="B74" s="1083" t="s">
        <v>812</v>
      </c>
      <c r="C74" s="1081"/>
      <c r="D74" s="1082"/>
    </row>
    <row r="75" spans="1:4" x14ac:dyDescent="0.25">
      <c r="A75" s="1081" t="s">
        <v>783</v>
      </c>
      <c r="B75" s="1083" t="s">
        <v>813</v>
      </c>
      <c r="C75" s="1081"/>
      <c r="D75" s="1082"/>
    </row>
    <row r="76" spans="1:4" x14ac:dyDescent="0.25">
      <c r="A76" s="1081" t="s">
        <v>783</v>
      </c>
      <c r="B76" s="1083" t="s">
        <v>814</v>
      </c>
      <c r="C76" s="1081"/>
      <c r="D76" s="1082"/>
    </row>
    <row r="77" spans="1:4" x14ac:dyDescent="0.25">
      <c r="A77" s="1081" t="s">
        <v>783</v>
      </c>
      <c r="B77" s="1083" t="s">
        <v>815</v>
      </c>
      <c r="C77" s="1081"/>
      <c r="D77" s="1082"/>
    </row>
    <row r="78" spans="1:4" x14ac:dyDescent="0.25">
      <c r="A78" s="1081" t="s">
        <v>783</v>
      </c>
      <c r="B78" s="1083" t="s">
        <v>816</v>
      </c>
      <c r="C78" s="1081"/>
      <c r="D78" s="1082"/>
    </row>
    <row r="79" spans="1:4" x14ac:dyDescent="0.25">
      <c r="A79" s="1081" t="s">
        <v>783</v>
      </c>
      <c r="B79" s="1083" t="s">
        <v>817</v>
      </c>
      <c r="C79" s="1081"/>
      <c r="D79" s="1082"/>
    </row>
    <row r="80" spans="1:4" x14ac:dyDescent="0.25">
      <c r="A80" s="1081" t="s">
        <v>783</v>
      </c>
      <c r="B80" s="1083" t="s">
        <v>818</v>
      </c>
      <c r="C80" s="1081"/>
      <c r="D80" s="1082"/>
    </row>
    <row r="81" spans="1:4" x14ac:dyDescent="0.25">
      <c r="A81" s="1081" t="s">
        <v>783</v>
      </c>
      <c r="B81" s="1083" t="s">
        <v>819</v>
      </c>
      <c r="C81" s="1081"/>
      <c r="D81" s="1082"/>
    </row>
    <row r="82" spans="1:4" x14ac:dyDescent="0.25">
      <c r="A82" s="1081" t="s">
        <v>783</v>
      </c>
      <c r="B82" s="1083" t="s">
        <v>820</v>
      </c>
      <c r="C82" s="1081"/>
      <c r="D82" s="1082"/>
    </row>
    <row r="83" spans="1:4" x14ac:dyDescent="0.25">
      <c r="A83" s="1081" t="s">
        <v>783</v>
      </c>
      <c r="B83" s="1083" t="s">
        <v>821</v>
      </c>
      <c r="C83" s="1081"/>
      <c r="D83" s="1082"/>
    </row>
    <row r="84" spans="1:4" x14ac:dyDescent="0.25">
      <c r="A84" s="1081" t="s">
        <v>783</v>
      </c>
      <c r="B84" s="1083" t="s">
        <v>822</v>
      </c>
      <c r="C84" s="1081"/>
      <c r="D84" s="1082"/>
    </row>
    <row r="85" spans="1:4" x14ac:dyDescent="0.25">
      <c r="A85" s="1081" t="s">
        <v>783</v>
      </c>
      <c r="B85" s="1083" t="s">
        <v>823</v>
      </c>
      <c r="C85" s="1081"/>
      <c r="D85" s="1082"/>
    </row>
    <row r="86" spans="1:4" x14ac:dyDescent="0.25">
      <c r="A86" s="1081" t="s">
        <v>783</v>
      </c>
      <c r="B86" s="1083" t="s">
        <v>824</v>
      </c>
      <c r="C86" s="1081"/>
      <c r="D86" s="1082"/>
    </row>
    <row r="87" spans="1:4" x14ac:dyDescent="0.25">
      <c r="A87" s="1081" t="s">
        <v>783</v>
      </c>
      <c r="B87" s="1083" t="s">
        <v>825</v>
      </c>
      <c r="C87" s="1081"/>
      <c r="D87" s="1082"/>
    </row>
    <row r="88" spans="1:4" x14ac:dyDescent="0.25">
      <c r="A88" s="1081" t="s">
        <v>783</v>
      </c>
      <c r="B88" s="1083" t="s">
        <v>826</v>
      </c>
      <c r="C88" s="1081"/>
      <c r="D88" s="1082"/>
    </row>
    <row r="89" spans="1:4" x14ac:dyDescent="0.25">
      <c r="A89" s="1081" t="s">
        <v>783</v>
      </c>
      <c r="B89" s="1083" t="s">
        <v>827</v>
      </c>
      <c r="C89" s="1081"/>
      <c r="D89" s="1082"/>
    </row>
    <row r="90" spans="1:4" x14ac:dyDescent="0.25">
      <c r="A90" s="1081" t="s">
        <v>783</v>
      </c>
      <c r="B90" s="1083" t="s">
        <v>828</v>
      </c>
      <c r="C90" s="1081"/>
      <c r="D90" s="1082"/>
    </row>
    <row r="91" spans="1:4" x14ac:dyDescent="0.25">
      <c r="A91" s="1081" t="s">
        <v>783</v>
      </c>
      <c r="B91" s="1083" t="s">
        <v>829</v>
      </c>
      <c r="C91" s="1081"/>
      <c r="D91" s="1082"/>
    </row>
    <row r="92" spans="1:4" x14ac:dyDescent="0.25">
      <c r="A92" s="1081" t="s">
        <v>783</v>
      </c>
      <c r="B92" s="1083" t="s">
        <v>830</v>
      </c>
      <c r="C92" s="1081"/>
      <c r="D92" s="1082"/>
    </row>
    <row r="93" spans="1:4" x14ac:dyDescent="0.25">
      <c r="A93" s="1081" t="s">
        <v>783</v>
      </c>
      <c r="B93" s="1083" t="s">
        <v>831</v>
      </c>
      <c r="C93" s="1081"/>
      <c r="D93" s="1082"/>
    </row>
    <row r="94" spans="1:4" x14ac:dyDescent="0.25">
      <c r="A94" s="1081" t="s">
        <v>783</v>
      </c>
      <c r="B94" s="1083" t="s">
        <v>832</v>
      </c>
      <c r="C94" s="1081"/>
      <c r="D94" s="1082"/>
    </row>
    <row r="95" spans="1:4" x14ac:dyDescent="0.25">
      <c r="A95" s="1081" t="s">
        <v>783</v>
      </c>
      <c r="B95" s="1083" t="s">
        <v>833</v>
      </c>
      <c r="C95" s="1081"/>
      <c r="D95" s="1082"/>
    </row>
    <row r="96" spans="1:4" x14ac:dyDescent="0.25">
      <c r="A96" s="1081" t="s">
        <v>783</v>
      </c>
      <c r="B96" s="1083" t="s">
        <v>834</v>
      </c>
      <c r="C96" s="1081"/>
      <c r="D96" s="1082"/>
    </row>
    <row r="97" spans="1:4" x14ac:dyDescent="0.25">
      <c r="A97" s="1081" t="s">
        <v>783</v>
      </c>
      <c r="B97" s="1083" t="s">
        <v>835</v>
      </c>
      <c r="C97" s="1081"/>
      <c r="D97" s="1082"/>
    </row>
    <row r="98" spans="1:4" x14ac:dyDescent="0.25">
      <c r="A98" s="1081" t="s">
        <v>783</v>
      </c>
      <c r="B98" s="1083" t="s">
        <v>836</v>
      </c>
      <c r="C98" s="1081"/>
      <c r="D98" s="1082"/>
    </row>
    <row r="99" spans="1:4" x14ac:dyDescent="0.25">
      <c r="A99" s="1081" t="s">
        <v>783</v>
      </c>
      <c r="B99" s="1083" t="s">
        <v>837</v>
      </c>
      <c r="C99" s="1081"/>
      <c r="D99" s="1082"/>
    </row>
    <row r="100" spans="1:4" x14ac:dyDescent="0.25">
      <c r="A100" s="1081" t="s">
        <v>783</v>
      </c>
      <c r="B100" s="1083" t="s">
        <v>838</v>
      </c>
      <c r="C100" s="1081"/>
      <c r="D100" s="1082"/>
    </row>
    <row r="101" spans="1:4" x14ac:dyDescent="0.25">
      <c r="A101" s="1081" t="s">
        <v>783</v>
      </c>
      <c r="B101" s="1083" t="s">
        <v>839</v>
      </c>
      <c r="C101" s="1081"/>
      <c r="D101" s="1082"/>
    </row>
    <row r="102" spans="1:4" x14ac:dyDescent="0.25">
      <c r="A102" s="1081" t="s">
        <v>783</v>
      </c>
      <c r="B102" s="1083" t="s">
        <v>840</v>
      </c>
      <c r="C102" s="1081"/>
      <c r="D102" s="1082"/>
    </row>
    <row r="103" spans="1:4" x14ac:dyDescent="0.25">
      <c r="A103" s="1081" t="s">
        <v>783</v>
      </c>
      <c r="B103" s="1083" t="s">
        <v>841</v>
      </c>
      <c r="C103" s="1081"/>
      <c r="D103" s="1082"/>
    </row>
    <row r="104" spans="1:4" x14ac:dyDescent="0.25">
      <c r="A104" s="1081" t="s">
        <v>783</v>
      </c>
      <c r="B104" s="1083" t="s">
        <v>842</v>
      </c>
      <c r="C104" s="1081"/>
      <c r="D104" s="1082"/>
    </row>
    <row r="105" spans="1:4" x14ac:dyDescent="0.25">
      <c r="A105" s="1081" t="s">
        <v>783</v>
      </c>
      <c r="B105" s="1083" t="s">
        <v>843</v>
      </c>
      <c r="C105" s="1081"/>
      <c r="D105" s="1082"/>
    </row>
    <row r="106" spans="1:4" x14ac:dyDescent="0.25">
      <c r="A106" s="1081" t="s">
        <v>783</v>
      </c>
      <c r="B106" s="1083" t="s">
        <v>844</v>
      </c>
      <c r="C106" s="1081"/>
      <c r="D106" s="1082"/>
    </row>
    <row r="107" spans="1:4" x14ac:dyDescent="0.25">
      <c r="A107" s="1081" t="s">
        <v>783</v>
      </c>
      <c r="B107" s="1083" t="s">
        <v>845</v>
      </c>
      <c r="C107" s="1081"/>
      <c r="D107" s="1082"/>
    </row>
    <row r="108" spans="1:4" x14ac:dyDescent="0.25">
      <c r="A108" s="1081" t="s">
        <v>783</v>
      </c>
      <c r="B108" s="1083" t="s">
        <v>846</v>
      </c>
      <c r="C108" s="1081"/>
      <c r="D108" s="1082"/>
    </row>
    <row r="109" spans="1:4" x14ac:dyDescent="0.25">
      <c r="A109" s="1081" t="s">
        <v>783</v>
      </c>
      <c r="B109" s="1083" t="s">
        <v>847</v>
      </c>
      <c r="C109" s="1081"/>
      <c r="D109" s="1082"/>
    </row>
    <row r="110" spans="1:4" x14ac:dyDescent="0.25">
      <c r="A110" s="1081" t="s">
        <v>783</v>
      </c>
      <c r="B110" s="1083" t="s">
        <v>848</v>
      </c>
      <c r="C110" s="1081"/>
      <c r="D110" s="1082"/>
    </row>
    <row r="111" spans="1:4" x14ac:dyDescent="0.25">
      <c r="A111" s="1081" t="s">
        <v>783</v>
      </c>
      <c r="B111" s="1083" t="s">
        <v>849</v>
      </c>
      <c r="C111" s="1081"/>
      <c r="D111" s="1082"/>
    </row>
    <row r="112" spans="1:4" x14ac:dyDescent="0.25">
      <c r="A112" s="1081" t="s">
        <v>783</v>
      </c>
      <c r="B112" s="1083" t="s">
        <v>850</v>
      </c>
      <c r="C112" s="1081"/>
      <c r="D112" s="1082"/>
    </row>
    <row r="113" spans="1:4" x14ac:dyDescent="0.25">
      <c r="A113" s="1081" t="s">
        <v>783</v>
      </c>
      <c r="B113" s="1083" t="s">
        <v>851</v>
      </c>
      <c r="C113" s="1081"/>
      <c r="D113" s="1082"/>
    </row>
    <row r="114" spans="1:4" x14ac:dyDescent="0.25">
      <c r="A114" s="1081" t="s">
        <v>783</v>
      </c>
      <c r="B114" s="1083" t="s">
        <v>852</v>
      </c>
      <c r="C114" s="1081"/>
      <c r="D114" s="1082"/>
    </row>
    <row r="115" spans="1:4" x14ac:dyDescent="0.25">
      <c r="A115" s="1081" t="s">
        <v>783</v>
      </c>
      <c r="B115" s="1083" t="s">
        <v>853</v>
      </c>
      <c r="C115" s="1081"/>
      <c r="D115" s="1082"/>
    </row>
    <row r="116" spans="1:4" x14ac:dyDescent="0.25">
      <c r="A116" s="1081" t="s">
        <v>783</v>
      </c>
      <c r="B116" s="1083" t="s">
        <v>854</v>
      </c>
      <c r="C116" s="1081"/>
      <c r="D116" s="1082"/>
    </row>
    <row r="117" spans="1:4" x14ac:dyDescent="0.25">
      <c r="A117" s="1081" t="s">
        <v>783</v>
      </c>
      <c r="B117" s="1083" t="s">
        <v>855</v>
      </c>
      <c r="C117" s="1081"/>
      <c r="D117" s="1082"/>
    </row>
    <row r="118" spans="1:4" ht="90" x14ac:dyDescent="0.25">
      <c r="A118" s="995" t="s">
        <v>782</v>
      </c>
      <c r="B118" s="995" t="s">
        <v>391</v>
      </c>
      <c r="C118" s="974" t="s">
        <v>917</v>
      </c>
      <c r="D118" s="996"/>
    </row>
    <row r="119" spans="1:4" ht="60" x14ac:dyDescent="0.25">
      <c r="A119" s="995" t="s">
        <v>782</v>
      </c>
      <c r="B119" s="995" t="s">
        <v>393</v>
      </c>
      <c r="C119" s="974" t="s">
        <v>918</v>
      </c>
      <c r="D119" s="996"/>
    </row>
    <row r="120" spans="1:4" ht="75" x14ac:dyDescent="0.25">
      <c r="A120" s="995" t="s">
        <v>782</v>
      </c>
      <c r="B120" s="995" t="s">
        <v>395</v>
      </c>
      <c r="C120" s="974" t="s">
        <v>919</v>
      </c>
      <c r="D120" s="996"/>
    </row>
    <row r="121" spans="1:4" ht="75" x14ac:dyDescent="0.25">
      <c r="A121" s="995" t="s">
        <v>782</v>
      </c>
      <c r="B121" s="995" t="s">
        <v>397</v>
      </c>
      <c r="C121" s="974" t="s">
        <v>920</v>
      </c>
      <c r="D121" s="996"/>
    </row>
    <row r="122" spans="1:4" ht="60" x14ac:dyDescent="0.25">
      <c r="A122" s="995" t="s">
        <v>782</v>
      </c>
      <c r="B122" s="995" t="s">
        <v>399</v>
      </c>
      <c r="C122" s="974" t="s">
        <v>921</v>
      </c>
      <c r="D122" s="996"/>
    </row>
    <row r="123" spans="1:4" ht="45" x14ac:dyDescent="0.25">
      <c r="A123" s="995" t="s">
        <v>782</v>
      </c>
      <c r="B123" s="995" t="s">
        <v>401</v>
      </c>
      <c r="C123" s="974" t="s">
        <v>922</v>
      </c>
      <c r="D123" s="996"/>
    </row>
    <row r="124" spans="1:4" ht="75" x14ac:dyDescent="0.25">
      <c r="A124" s="995" t="s">
        <v>782</v>
      </c>
      <c r="B124" s="995" t="s">
        <v>403</v>
      </c>
      <c r="C124" s="974" t="s">
        <v>923</v>
      </c>
      <c r="D124" s="996"/>
    </row>
    <row r="125" spans="1:4" ht="45" x14ac:dyDescent="0.25">
      <c r="A125" s="995" t="s">
        <v>782</v>
      </c>
      <c r="B125" s="995" t="s">
        <v>405</v>
      </c>
      <c r="C125" s="974" t="s">
        <v>924</v>
      </c>
      <c r="D125" s="996"/>
    </row>
    <row r="126" spans="1:4" ht="75" x14ac:dyDescent="0.25">
      <c r="A126" s="995" t="s">
        <v>782</v>
      </c>
      <c r="B126" s="995" t="s">
        <v>407</v>
      </c>
      <c r="C126" s="974" t="s">
        <v>925</v>
      </c>
      <c r="D126" s="996"/>
    </row>
    <row r="127" spans="1:4" x14ac:dyDescent="0.25">
      <c r="A127" s="974" t="s">
        <v>783</v>
      </c>
      <c r="B127" s="974" t="s">
        <v>856</v>
      </c>
      <c r="C127" s="974"/>
      <c r="D127" s="996"/>
    </row>
    <row r="128" spans="1:4" x14ac:dyDescent="0.25">
      <c r="A128" s="974" t="s">
        <v>783</v>
      </c>
      <c r="B128" s="974" t="s">
        <v>857</v>
      </c>
      <c r="C128" s="974"/>
      <c r="D128" s="996"/>
    </row>
    <row r="129" spans="1:4" x14ac:dyDescent="0.25">
      <c r="A129" s="974" t="s">
        <v>783</v>
      </c>
      <c r="B129" s="974" t="s">
        <v>858</v>
      </c>
      <c r="C129" s="974"/>
      <c r="D129" s="996"/>
    </row>
    <row r="130" spans="1:4" x14ac:dyDescent="0.25">
      <c r="A130" s="974" t="s">
        <v>783</v>
      </c>
      <c r="B130" s="974" t="s">
        <v>859</v>
      </c>
      <c r="C130" s="974"/>
      <c r="D130" s="996"/>
    </row>
    <row r="131" spans="1:4" x14ac:dyDescent="0.25">
      <c r="A131" s="974" t="s">
        <v>783</v>
      </c>
      <c r="B131" s="974" t="s">
        <v>860</v>
      </c>
      <c r="C131" s="974"/>
      <c r="D131" s="996"/>
    </row>
    <row r="132" spans="1:4" x14ac:dyDescent="0.25">
      <c r="A132" s="974" t="s">
        <v>783</v>
      </c>
      <c r="B132" s="974" t="s">
        <v>861</v>
      </c>
      <c r="C132" s="974"/>
      <c r="D132" s="996"/>
    </row>
    <row r="133" spans="1:4" x14ac:dyDescent="0.25">
      <c r="A133" s="974" t="s">
        <v>783</v>
      </c>
      <c r="B133" s="974" t="s">
        <v>862</v>
      </c>
      <c r="C133" s="974"/>
      <c r="D133" s="996"/>
    </row>
    <row r="134" spans="1:4" x14ac:dyDescent="0.25">
      <c r="A134" s="974" t="s">
        <v>783</v>
      </c>
      <c r="B134" s="974" t="s">
        <v>863</v>
      </c>
      <c r="C134" s="974"/>
      <c r="D134" s="996"/>
    </row>
    <row r="135" spans="1:4" x14ac:dyDescent="0.25">
      <c r="A135" s="974" t="s">
        <v>783</v>
      </c>
      <c r="B135" s="974" t="s">
        <v>864</v>
      </c>
      <c r="C135" s="974"/>
      <c r="D135" s="996"/>
    </row>
    <row r="136" spans="1:4" x14ac:dyDescent="0.25">
      <c r="A136" s="974" t="s">
        <v>783</v>
      </c>
      <c r="B136" s="974" t="s">
        <v>865</v>
      </c>
      <c r="C136" s="974"/>
      <c r="D136" s="996"/>
    </row>
    <row r="137" spans="1:4" x14ac:dyDescent="0.25">
      <c r="A137" s="974" t="s">
        <v>783</v>
      </c>
      <c r="B137" s="974" t="s">
        <v>866</v>
      </c>
      <c r="C137" s="974"/>
      <c r="D137" s="996"/>
    </row>
    <row r="138" spans="1:4" x14ac:dyDescent="0.25">
      <c r="A138" s="974" t="s">
        <v>783</v>
      </c>
      <c r="B138" s="974" t="s">
        <v>867</v>
      </c>
      <c r="C138" s="974"/>
      <c r="D138" s="996"/>
    </row>
    <row r="139" spans="1:4" x14ac:dyDescent="0.25">
      <c r="A139" s="974" t="s">
        <v>783</v>
      </c>
      <c r="B139" s="974" t="s">
        <v>868</v>
      </c>
      <c r="C139" s="974"/>
      <c r="D139" s="996"/>
    </row>
    <row r="140" spans="1:4" x14ac:dyDescent="0.25">
      <c r="A140" s="974" t="s">
        <v>783</v>
      </c>
      <c r="B140" s="974" t="s">
        <v>869</v>
      </c>
      <c r="C140" s="974"/>
      <c r="D140" s="996"/>
    </row>
    <row r="141" spans="1:4" x14ac:dyDescent="0.25">
      <c r="A141" s="974" t="s">
        <v>783</v>
      </c>
      <c r="B141" s="974" t="s">
        <v>870</v>
      </c>
      <c r="C141" s="974"/>
      <c r="D141" s="996"/>
    </row>
    <row r="142" spans="1:4" x14ac:dyDescent="0.25">
      <c r="A142" s="974" t="s">
        <v>783</v>
      </c>
      <c r="B142" s="974" t="s">
        <v>871</v>
      </c>
      <c r="C142" s="974"/>
      <c r="D142" s="996"/>
    </row>
    <row r="143" spans="1:4" x14ac:dyDescent="0.25">
      <c r="A143" s="974" t="s">
        <v>783</v>
      </c>
      <c r="B143" s="974" t="s">
        <v>872</v>
      </c>
      <c r="C143" s="974"/>
      <c r="D143" s="996"/>
    </row>
    <row r="144" spans="1:4" x14ac:dyDescent="0.25">
      <c r="A144" s="974" t="s">
        <v>783</v>
      </c>
      <c r="B144" s="974" t="s">
        <v>873</v>
      </c>
      <c r="C144" s="974"/>
      <c r="D144" s="996"/>
    </row>
    <row r="145" spans="1:4" x14ac:dyDescent="0.25">
      <c r="A145" s="974" t="s">
        <v>783</v>
      </c>
      <c r="B145" s="974" t="s">
        <v>874</v>
      </c>
      <c r="C145" s="974"/>
      <c r="D145" s="996"/>
    </row>
    <row r="146" spans="1:4" x14ac:dyDescent="0.25">
      <c r="A146" s="974" t="s">
        <v>783</v>
      </c>
      <c r="B146" s="974" t="s">
        <v>875</v>
      </c>
      <c r="C146" s="974"/>
      <c r="D146" s="996"/>
    </row>
  </sheetData>
  <phoneticPr fontId="10" type="noConversion"/>
  <pageMargins left="0.7" right="0.7" top="0.75" bottom="0.75" header="0.3" footer="0.3"/>
  <pageSetup paperSize="9" scale="92" orientation="landscape" horizontalDpi="0" verticalDpi="0" r:id="rId1"/>
  <colBreaks count="1" manualBreakCount="1">
    <brk id="3" max="1048575" man="1"/>
  </col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Wartość nieprawidłowa" error="Proszę wybrać jedną kategorię dla każdego efektu" promptTitle="Kategoria PRK" prompt="Proszę wybrać jedną kategorię dla każdego efektu" xr:uid="{2DE9BD32-A509-46D8-A804-79BB14CD155C}">
          <x14:formula1>
            <xm:f>Słowniki!$Q$2:$Q$3</xm:f>
          </x14:formula1>
          <xm:sqref>D2:D44</xm:sqref>
        </x14:dataValidation>
        <x14:dataValidation type="list" allowBlank="1" showInputMessage="1" showErrorMessage="1" errorTitle="Wartość nieprawidłowa" error="Proszę wybrać jedną kategorię dla każdego efektu" promptTitle="Kategoria PRK" prompt="Proszę wybrać jedną kategorię dla każdego efektu" xr:uid="{363AF31B-BF83-404C-BF54-6BE262896B5A}">
          <x14:formula1>
            <xm:f>Słowniki!$Q$4:$Q$7</xm:f>
          </x14:formula1>
          <xm:sqref>D45:D117</xm:sqref>
        </x14:dataValidation>
        <x14:dataValidation type="list" allowBlank="1" showInputMessage="1" showErrorMessage="1" errorTitle="Wartość nieprawidłowa" error="Proszę wybrać jedną kategorię dla każdego efektu" promptTitle="Kategoria PRK" prompt="Proszę wybrać jedną kategorię dla każdego efektu" xr:uid="{0D33F3DA-66E5-4F31-8182-7A4FC78FCF30}">
          <x14:formula1>
            <xm:f>Słowniki!$Q$8:$Q$10</xm:f>
          </x14:formula1>
          <xm:sqref>D118:D146</xm:sqref>
        </x14:dataValidation>
        <x14:dataValidation type="list" allowBlank="1" showInputMessage="1" showErrorMessage="1" errorTitle="Wartość nieprawidłowa" error="Proszę wybrać z listy kategorię efektu " promptTitle="Kategoria efektu" prompt="Proszę wybrać z listy kategorię efektu " xr:uid="{583FF388-E7DE-4F71-852E-D45FBEBCE440}">
          <x14:formula1>
            <xm:f>Słowniki!$R$14:$R$15</xm:f>
          </x14:formula1>
          <xm:sqref>A2:A146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5258F-C46C-4F56-AEB9-121B67A01A20}">
  <sheetPr codeName="Arkusz4"/>
  <dimension ref="A2:CD131"/>
  <sheetViews>
    <sheetView zoomScale="55" zoomScaleNormal="55" workbookViewId="0">
      <pane xSplit="19" ySplit="19" topLeftCell="T53" activePane="bottomRight" state="frozen"/>
      <selection pane="topRight" activeCell="T1" sqref="T1"/>
      <selection pane="bottomLeft" activeCell="A20" sqref="A20"/>
      <selection pane="bottomRight" activeCell="A20" sqref="A20"/>
    </sheetView>
  </sheetViews>
  <sheetFormatPr defaultColWidth="8.85546875" defaultRowHeight="15" x14ac:dyDescent="0.25"/>
  <cols>
    <col min="1" max="1" width="5.42578125" customWidth="1"/>
    <col min="2" max="2" width="6.7109375" customWidth="1"/>
    <col min="3" max="3" width="12.140625" customWidth="1"/>
    <col min="4" max="4" width="6.7109375" customWidth="1"/>
    <col min="5" max="5" width="6.7109375" style="8" customWidth="1"/>
    <col min="6" max="6" width="12.42578125" customWidth="1"/>
    <col min="7" max="7" width="7.140625" customWidth="1"/>
    <col min="8" max="8" width="19.42578125" style="4" customWidth="1"/>
    <col min="9" max="9" width="33.42578125" style="4" customWidth="1"/>
    <col min="10" max="10" width="14.42578125" style="4" customWidth="1"/>
    <col min="11" max="11" width="12" customWidth="1"/>
    <col min="12" max="12" width="6.85546875" style="4" customWidth="1"/>
    <col min="13" max="13" width="5.28515625" style="4" customWidth="1"/>
    <col min="14" max="14" width="11.85546875" style="4" customWidth="1"/>
    <col min="15" max="15" width="6.7109375" style="4" customWidth="1"/>
    <col min="16" max="16" width="6.42578125" style="4" customWidth="1"/>
    <col min="17" max="19" width="5.85546875" style="4" customWidth="1"/>
    <col min="20" max="68" width="4.28515625" customWidth="1"/>
  </cols>
  <sheetData>
    <row r="2" spans="1:19" ht="21" x14ac:dyDescent="0.35">
      <c r="G2" s="1362" t="s">
        <v>128</v>
      </c>
      <c r="H2" s="1362"/>
      <c r="I2" s="1362"/>
      <c r="J2" s="149"/>
      <c r="K2" s="149"/>
    </row>
    <row r="5" spans="1:19" ht="18.75" x14ac:dyDescent="0.3">
      <c r="G5" s="29" t="s">
        <v>23</v>
      </c>
      <c r="H5" s="28"/>
      <c r="I5" s="3" t="s">
        <v>136</v>
      </c>
      <c r="J5" s="94"/>
    </row>
    <row r="6" spans="1:19" ht="18.75" x14ac:dyDescent="0.3">
      <c r="G6" s="29" t="s">
        <v>24</v>
      </c>
      <c r="H6" s="28"/>
      <c r="I6" s="3" t="s">
        <v>439</v>
      </c>
      <c r="J6" s="94"/>
    </row>
    <row r="7" spans="1:19" x14ac:dyDescent="0.25">
      <c r="G7" s="23" t="s">
        <v>27</v>
      </c>
      <c r="H7" s="24"/>
      <c r="I7" s="73" t="s">
        <v>658</v>
      </c>
    </row>
    <row r="8" spans="1:19" ht="18.75" x14ac:dyDescent="0.3">
      <c r="G8" s="23" t="s">
        <v>44</v>
      </c>
      <c r="H8" s="24"/>
      <c r="I8" s="3" t="s">
        <v>659</v>
      </c>
      <c r="J8" s="94"/>
    </row>
    <row r="9" spans="1:19" x14ac:dyDescent="0.25">
      <c r="G9" s="23" t="s">
        <v>46</v>
      </c>
      <c r="H9" s="24"/>
      <c r="I9" s="3" t="s">
        <v>137</v>
      </c>
    </row>
    <row r="10" spans="1:19" x14ac:dyDescent="0.25">
      <c r="G10" s="23" t="s">
        <v>25</v>
      </c>
      <c r="H10" s="24"/>
      <c r="I10" s="3" t="s">
        <v>138</v>
      </c>
      <c r="J10" s="9"/>
      <c r="L10" s="9"/>
      <c r="M10" s="9"/>
      <c r="N10" s="6"/>
      <c r="O10" s="9"/>
      <c r="P10" s="9"/>
    </row>
    <row r="11" spans="1:19" x14ac:dyDescent="0.25">
      <c r="G11" s="2" t="s">
        <v>47</v>
      </c>
      <c r="H11" s="24"/>
      <c r="I11" s="24">
        <v>10</v>
      </c>
    </row>
    <row r="12" spans="1:19" x14ac:dyDescent="0.25">
      <c r="G12" s="2" t="s">
        <v>48</v>
      </c>
      <c r="H12" s="24"/>
      <c r="I12" s="74">
        <v>4715</v>
      </c>
    </row>
    <row r="13" spans="1:19" x14ac:dyDescent="0.25">
      <c r="G13" s="2" t="s">
        <v>49</v>
      </c>
      <c r="H13" s="24"/>
      <c r="I13" s="24">
        <v>300</v>
      </c>
    </row>
    <row r="14" spans="1:19" x14ac:dyDescent="0.25">
      <c r="H14" s="10"/>
      <c r="I14" s="10"/>
    </row>
    <row r="15" spans="1:19" ht="15.75" thickBot="1" x14ac:dyDescent="0.3">
      <c r="J15" s="10"/>
      <c r="L15" s="10"/>
      <c r="M15" s="10"/>
      <c r="N15" s="10"/>
      <c r="O15" s="10"/>
      <c r="P15" s="10"/>
    </row>
    <row r="16" spans="1:19" ht="24" customHeight="1" x14ac:dyDescent="0.25">
      <c r="A16" s="1363" t="s">
        <v>1</v>
      </c>
      <c r="B16" s="1365" t="s">
        <v>40</v>
      </c>
      <c r="C16" s="1365" t="s">
        <v>50</v>
      </c>
      <c r="D16" s="1365" t="s">
        <v>51</v>
      </c>
      <c r="E16" s="1365" t="s">
        <v>32</v>
      </c>
      <c r="F16" s="1365" t="s">
        <v>33</v>
      </c>
      <c r="G16" s="1365" t="s">
        <v>132</v>
      </c>
      <c r="H16" s="1365" t="s">
        <v>104</v>
      </c>
      <c r="I16" s="1365" t="s">
        <v>2</v>
      </c>
      <c r="J16" s="1336" t="s">
        <v>28</v>
      </c>
      <c r="K16" s="1336"/>
      <c r="L16" s="1336"/>
      <c r="M16" s="1336"/>
      <c r="N16" s="1336"/>
      <c r="O16" s="1336"/>
      <c r="P16" s="1337"/>
      <c r="Q16" s="1338" t="s">
        <v>127</v>
      </c>
      <c r="R16" s="1339"/>
      <c r="S16" s="1340"/>
    </row>
    <row r="17" spans="1:81" ht="27.75" customHeight="1" thickBot="1" x14ac:dyDescent="0.3">
      <c r="A17" s="1364"/>
      <c r="B17" s="1366"/>
      <c r="C17" s="1366"/>
      <c r="D17" s="1366"/>
      <c r="E17" s="1366"/>
      <c r="F17" s="1366"/>
      <c r="G17" s="1366"/>
      <c r="H17" s="1366"/>
      <c r="I17" s="1366"/>
      <c r="J17" s="1344" t="s">
        <v>69</v>
      </c>
      <c r="K17" s="1344"/>
      <c r="L17" s="1344"/>
      <c r="M17" s="1344"/>
      <c r="N17" s="1345"/>
      <c r="O17" s="1346" t="s">
        <v>129</v>
      </c>
      <c r="P17" s="1349" t="s">
        <v>130</v>
      </c>
      <c r="Q17" s="1341"/>
      <c r="R17" s="1342"/>
      <c r="S17" s="1343"/>
    </row>
    <row r="18" spans="1:81" ht="78.75" customHeight="1" thickBot="1" x14ac:dyDescent="0.3">
      <c r="A18" s="1364"/>
      <c r="B18" s="1366"/>
      <c r="C18" s="1366"/>
      <c r="D18" s="1366"/>
      <c r="E18" s="1366"/>
      <c r="F18" s="1366"/>
      <c r="G18" s="1366"/>
      <c r="H18" s="1366"/>
      <c r="I18" s="1366"/>
      <c r="J18" s="1352" t="s">
        <v>71</v>
      </c>
      <c r="K18" s="1354" t="s">
        <v>68</v>
      </c>
      <c r="L18" s="1356" t="s">
        <v>72</v>
      </c>
      <c r="M18" s="1358" t="s">
        <v>131</v>
      </c>
      <c r="N18" s="1360" t="s">
        <v>70</v>
      </c>
      <c r="O18" s="1347"/>
      <c r="P18" s="1350"/>
      <c r="Q18" s="1322" t="s">
        <v>124</v>
      </c>
      <c r="R18" s="1324" t="s">
        <v>125</v>
      </c>
      <c r="S18" s="1326" t="s">
        <v>126</v>
      </c>
      <c r="T18" s="1328" t="s">
        <v>124</v>
      </c>
      <c r="U18" s="1329"/>
      <c r="V18" s="1329"/>
      <c r="W18" s="1329"/>
      <c r="X18" s="1329"/>
      <c r="Y18" s="1329"/>
      <c r="Z18" s="1329"/>
      <c r="AA18" s="1329"/>
      <c r="AB18" s="1329"/>
      <c r="AC18" s="1329"/>
      <c r="AD18" s="1329"/>
      <c r="AE18" s="1330"/>
      <c r="AF18" s="1331" t="s">
        <v>414</v>
      </c>
      <c r="AG18" s="1332"/>
      <c r="AH18" s="1332"/>
      <c r="AI18" s="1332"/>
      <c r="AJ18" s="1332"/>
      <c r="AK18" s="1332"/>
      <c r="AL18" s="1332"/>
      <c r="AM18" s="1332"/>
      <c r="AN18" s="1332"/>
      <c r="AO18" s="1332"/>
      <c r="AP18" s="1332"/>
      <c r="AQ18" s="1332"/>
      <c r="AR18" s="1332"/>
      <c r="AS18" s="1332"/>
      <c r="AT18" s="1332"/>
      <c r="AU18" s="1332"/>
      <c r="AV18" s="1332"/>
      <c r="AW18" s="1332"/>
      <c r="AX18" s="1332"/>
      <c r="AY18" s="1332"/>
      <c r="AZ18" s="1332"/>
      <c r="BA18" s="1332"/>
      <c r="BB18" s="1332"/>
      <c r="BC18" s="1332"/>
      <c r="BD18" s="1332"/>
      <c r="BE18" s="1332"/>
      <c r="BF18" s="1332"/>
      <c r="BG18" s="1332"/>
      <c r="BH18" s="1333" t="s">
        <v>126</v>
      </c>
      <c r="BI18" s="1334"/>
      <c r="BJ18" s="1334"/>
      <c r="BK18" s="1334"/>
      <c r="BL18" s="1334"/>
      <c r="BM18" s="1334"/>
      <c r="BN18" s="1334"/>
      <c r="BO18" s="1334"/>
      <c r="BP18" s="1335"/>
      <c r="BQ18" s="1320" t="s">
        <v>133</v>
      </c>
      <c r="BR18" s="1320"/>
      <c r="BS18" s="1320"/>
      <c r="BT18" s="1320"/>
      <c r="BU18" s="1320"/>
      <c r="BV18" s="1320"/>
      <c r="BW18" s="1320"/>
      <c r="BX18" s="1320"/>
      <c r="BY18" s="1320"/>
      <c r="BZ18" s="1320"/>
      <c r="CA18" s="1320"/>
      <c r="CB18" s="1320"/>
      <c r="CC18" s="1321"/>
    </row>
    <row r="19" spans="1:81" s="92" customFormat="1" ht="46.5" customHeight="1" thickBot="1" x14ac:dyDescent="0.3">
      <c r="A19" s="233"/>
      <c r="B19" s="234"/>
      <c r="C19" s="234"/>
      <c r="D19" s="234"/>
      <c r="E19" s="234"/>
      <c r="F19" s="234"/>
      <c r="G19" s="234"/>
      <c r="H19" s="235"/>
      <c r="I19" s="234"/>
      <c r="J19" s="1353"/>
      <c r="K19" s="1355"/>
      <c r="L19" s="1357"/>
      <c r="M19" s="1359"/>
      <c r="N19" s="1361"/>
      <c r="O19" s="1348"/>
      <c r="P19" s="1351"/>
      <c r="Q19" s="1323"/>
      <c r="R19" s="1325"/>
      <c r="S19" s="1327"/>
      <c r="T19" s="181" t="s">
        <v>139</v>
      </c>
      <c r="U19" s="182" t="s">
        <v>141</v>
      </c>
      <c r="V19" s="182" t="s">
        <v>143</v>
      </c>
      <c r="W19" s="182" t="s">
        <v>145</v>
      </c>
      <c r="X19" s="182" t="s">
        <v>147</v>
      </c>
      <c r="Y19" s="182" t="s">
        <v>149</v>
      </c>
      <c r="Z19" s="182" t="s">
        <v>151</v>
      </c>
      <c r="AA19" s="182" t="s">
        <v>153</v>
      </c>
      <c r="AB19" s="182" t="s">
        <v>155</v>
      </c>
      <c r="AC19" s="182" t="s">
        <v>157</v>
      </c>
      <c r="AD19" s="182" t="s">
        <v>159</v>
      </c>
      <c r="AE19" s="695" t="s">
        <v>161</v>
      </c>
      <c r="AF19" s="183" t="s">
        <v>267</v>
      </c>
      <c r="AG19" s="694" t="s">
        <v>269</v>
      </c>
      <c r="AH19" s="694" t="s">
        <v>271</v>
      </c>
      <c r="AI19" s="694" t="s">
        <v>273</v>
      </c>
      <c r="AJ19" s="694" t="s">
        <v>275</v>
      </c>
      <c r="AK19" s="694" t="s">
        <v>277</v>
      </c>
      <c r="AL19" s="694" t="s">
        <v>279</v>
      </c>
      <c r="AM19" s="694" t="s">
        <v>281</v>
      </c>
      <c r="AN19" s="694" t="s">
        <v>283</v>
      </c>
      <c r="AO19" s="694" t="s">
        <v>285</v>
      </c>
      <c r="AP19" s="694" t="s">
        <v>287</v>
      </c>
      <c r="AQ19" s="694" t="s">
        <v>289</v>
      </c>
      <c r="AR19" s="694" t="s">
        <v>291</v>
      </c>
      <c r="AS19" s="694" t="s">
        <v>293</v>
      </c>
      <c r="AT19" s="694" t="s">
        <v>295</v>
      </c>
      <c r="AU19" s="694" t="s">
        <v>297</v>
      </c>
      <c r="AV19" s="694" t="s">
        <v>299</v>
      </c>
      <c r="AW19" s="694" t="s">
        <v>301</v>
      </c>
      <c r="AX19" s="694" t="s">
        <v>303</v>
      </c>
      <c r="AY19" s="694" t="s">
        <v>305</v>
      </c>
      <c r="AZ19" s="694" t="s">
        <v>307</v>
      </c>
      <c r="BA19" s="694" t="s">
        <v>309</v>
      </c>
      <c r="BB19" s="694" t="s">
        <v>311</v>
      </c>
      <c r="BC19" s="694" t="s">
        <v>313</v>
      </c>
      <c r="BD19" s="694" t="s">
        <v>315</v>
      </c>
      <c r="BE19" s="694" t="s">
        <v>317</v>
      </c>
      <c r="BF19" s="694" t="s">
        <v>319</v>
      </c>
      <c r="BG19" s="694" t="s">
        <v>321</v>
      </c>
      <c r="BH19" s="185" t="s">
        <v>391</v>
      </c>
      <c r="BI19" s="186" t="s">
        <v>393</v>
      </c>
      <c r="BJ19" s="186" t="s">
        <v>395</v>
      </c>
      <c r="BK19" s="186" t="s">
        <v>397</v>
      </c>
      <c r="BL19" s="186" t="s">
        <v>399</v>
      </c>
      <c r="BM19" s="186" t="s">
        <v>401</v>
      </c>
      <c r="BN19" s="186" t="s">
        <v>403</v>
      </c>
      <c r="BO19" s="186" t="s">
        <v>405</v>
      </c>
      <c r="BP19" s="186" t="s">
        <v>407</v>
      </c>
      <c r="BQ19" s="152"/>
      <c r="BR19" s="152"/>
      <c r="BS19" s="152"/>
      <c r="BT19" s="152"/>
      <c r="BU19" s="152"/>
      <c r="BV19" s="152"/>
      <c r="BW19" s="152"/>
      <c r="BX19" s="152"/>
      <c r="BY19" s="152"/>
      <c r="BZ19" s="152"/>
      <c r="CA19" s="152"/>
      <c r="CB19" s="152"/>
      <c r="CC19" s="153"/>
    </row>
    <row r="20" spans="1:81" s="44" customFormat="1" ht="30" customHeight="1" x14ac:dyDescent="0.25">
      <c r="A20" s="32">
        <f>Psychologia!A20</f>
        <v>1</v>
      </c>
      <c r="B20" s="127" t="str">
        <f>IF(Psychologia!B20&gt;0,Psychologia!B20," ")</f>
        <v xml:space="preserve"> </v>
      </c>
      <c r="C20" s="128" t="str">
        <f>IF(Psychologia!C20&gt;0,Psychologia!C20," ")</f>
        <v>2026/2027</v>
      </c>
      <c r="D20" s="128" t="str">
        <f>IF(Psychologia!D20&gt;0,Psychologia!D20," ")</f>
        <v xml:space="preserve"> </v>
      </c>
      <c r="E20" s="127">
        <f>IF(Psychologia!E20&gt;0,Psychologia!E20," ")</f>
        <v>1</v>
      </c>
      <c r="F20" s="32" t="str">
        <f>IF(Psychologia!F20&gt;0,Psychologia!F20," ")</f>
        <v>2026/2027</v>
      </c>
      <c r="G20" s="32" t="str">
        <f>IF(Psychologia!G20&gt;0,Psychologia!G20," ")</f>
        <v>RPS</v>
      </c>
      <c r="H20" s="122" t="str">
        <f>IF(Psychologia!H20&gt;0,Psychologia!H20," ")</f>
        <v xml:space="preserve"> </v>
      </c>
      <c r="I20" s="122" t="str">
        <f>IF(Psychologia!I20&gt;0,Psychologia!I20," ")</f>
        <v>Biologiczne uwarunkowania procesów psychicznych</v>
      </c>
      <c r="J20" s="123">
        <f>Psychologia!Y20+Psychologia!AV20</f>
        <v>100</v>
      </c>
      <c r="K20" s="124">
        <f>Psychologia!AS20+Psychologia!BP20</f>
        <v>40</v>
      </c>
      <c r="L20" s="125">
        <f>Psychologia!Z20+Psychologia!AW20</f>
        <v>60</v>
      </c>
      <c r="M20" s="126">
        <f>Psychologia!AB20+Psychologia!AD20+Psychologia!AY20+Psychologia!BA20</f>
        <v>30</v>
      </c>
      <c r="N20" s="220">
        <f>Psychologia!AA20+Psychologia!AX20</f>
        <v>60</v>
      </c>
      <c r="O20" s="232">
        <f>Psychologia!X20+Psychologia!AU20</f>
        <v>4</v>
      </c>
      <c r="P20" s="128" t="str">
        <f>IF(Psychologia!V20&gt;0,Psychologia!V20," ")</f>
        <v>egz</v>
      </c>
      <c r="Q20" s="150">
        <f t="shared" ref="Q20:Q32" si="0">SUM(T20:AE20)</f>
        <v>1</v>
      </c>
      <c r="R20" s="135">
        <f t="shared" ref="R20:R31" si="1">SUM(AF20:BG20)</f>
        <v>1</v>
      </c>
      <c r="S20" s="161">
        <f t="shared" ref="S20:S32" si="2">SUM(BH20:BP20)</f>
        <v>1</v>
      </c>
      <c r="T20" s="132"/>
      <c r="U20" s="131"/>
      <c r="V20" s="131"/>
      <c r="W20" s="131"/>
      <c r="X20" s="131"/>
      <c r="Y20" s="131"/>
      <c r="Z20" s="131"/>
      <c r="AA20" s="131">
        <v>1</v>
      </c>
      <c r="AB20" s="131"/>
      <c r="AC20" s="131"/>
      <c r="AD20" s="131"/>
      <c r="AE20" s="133"/>
      <c r="AF20" s="735"/>
      <c r="AG20" s="736"/>
      <c r="AH20" s="736"/>
      <c r="AI20" s="736"/>
      <c r="AJ20" s="736"/>
      <c r="AK20" s="736"/>
      <c r="AL20" s="736"/>
      <c r="AM20" s="736"/>
      <c r="AN20" s="736"/>
      <c r="AO20" s="736"/>
      <c r="AP20" s="736"/>
      <c r="AQ20" s="736"/>
      <c r="AR20" s="736"/>
      <c r="AS20" s="736"/>
      <c r="AT20" s="736"/>
      <c r="AU20" s="736"/>
      <c r="AV20" s="736"/>
      <c r="AW20" s="736"/>
      <c r="AX20" s="736"/>
      <c r="AY20" s="736"/>
      <c r="AZ20" s="736"/>
      <c r="BA20" s="736">
        <v>1</v>
      </c>
      <c r="BB20" s="736"/>
      <c r="BC20" s="736"/>
      <c r="BD20" s="736"/>
      <c r="BE20" s="736"/>
      <c r="BF20" s="736"/>
      <c r="BG20" s="737"/>
      <c r="BH20" s="131">
        <v>1</v>
      </c>
      <c r="BI20" s="131"/>
      <c r="BJ20" s="131"/>
      <c r="BK20" s="131"/>
      <c r="BL20" s="131"/>
      <c r="BM20" s="131"/>
      <c r="BN20" s="131"/>
      <c r="BO20" s="131"/>
      <c r="BP20" s="131"/>
    </row>
    <row r="21" spans="1:81" s="44" customFormat="1" ht="48" customHeight="1" x14ac:dyDescent="0.25">
      <c r="A21" s="32">
        <f>Psychologia!A21</f>
        <v>2</v>
      </c>
      <c r="B21" s="127" t="str">
        <f>IF(Psychologia!B21&gt;0,Psychologia!B21," ")</f>
        <v xml:space="preserve"> </v>
      </c>
      <c r="C21" s="128" t="str">
        <f>IF(Psychologia!C21&gt;0,Psychologia!C21," ")</f>
        <v>2026/2027</v>
      </c>
      <c r="D21" s="128" t="str">
        <f>IF(Psychologia!D21&gt;0,Psychologia!D21," ")</f>
        <v xml:space="preserve"> </v>
      </c>
      <c r="E21" s="127">
        <f>IF(Psychologia!E21&gt;0,Psychologia!E21," ")</f>
        <v>1</v>
      </c>
      <c r="F21" s="32" t="str">
        <f>IF(Psychologia!F21&gt;0,Psychologia!F21," ")</f>
        <v>2026/2027</v>
      </c>
      <c r="G21" s="32" t="str">
        <f>IF(Psychologia!G21&gt;0,Psychologia!G21," ")</f>
        <v>RPS</v>
      </c>
      <c r="H21" s="122" t="str">
        <f>IF(Psychologia!H21&gt;0,Psychologia!H21," ")</f>
        <v xml:space="preserve"> </v>
      </c>
      <c r="I21" s="122" t="str">
        <f>IF(Psychologia!I21&gt;0,Psychologia!I21," ")</f>
        <v>Podejście evidence based w psychologii</v>
      </c>
      <c r="J21" s="123">
        <f>Psychologia!Y21+Psychologia!AV21</f>
        <v>25</v>
      </c>
      <c r="K21" s="124">
        <f>Psychologia!AS21+Psychologia!BP21</f>
        <v>0</v>
      </c>
      <c r="L21" s="125">
        <f>Psychologia!Z21+Psychologia!AW21</f>
        <v>25</v>
      </c>
      <c r="M21" s="126">
        <f>Psychologia!AB21+Psychologia!AD21+Psychologia!AY21+Psychologia!BA21</f>
        <v>25</v>
      </c>
      <c r="N21" s="220">
        <f>Psychologia!AA21+Psychologia!AX21</f>
        <v>25</v>
      </c>
      <c r="O21" s="232">
        <f>Psychologia!X21+Psychologia!AU21</f>
        <v>1</v>
      </c>
      <c r="P21" s="128" t="str">
        <f>IF(Psychologia!V21&gt;0,Psychologia!V21," ")</f>
        <v>zal/o</v>
      </c>
      <c r="Q21" s="150">
        <f t="shared" si="0"/>
        <v>2</v>
      </c>
      <c r="R21" s="135">
        <f t="shared" si="1"/>
        <v>1</v>
      </c>
      <c r="S21" s="161">
        <f t="shared" si="2"/>
        <v>1</v>
      </c>
      <c r="T21" s="132"/>
      <c r="U21" s="131"/>
      <c r="V21" s="131"/>
      <c r="W21" s="131">
        <v>1</v>
      </c>
      <c r="X21" s="131"/>
      <c r="Y21" s="131"/>
      <c r="Z21" s="131">
        <v>1</v>
      </c>
      <c r="AA21" s="131"/>
      <c r="AB21" s="131"/>
      <c r="AC21" s="131"/>
      <c r="AD21" s="131"/>
      <c r="AE21" s="133"/>
      <c r="AF21" s="132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>
        <v>1</v>
      </c>
      <c r="AX21" s="131"/>
      <c r="AY21" s="131"/>
      <c r="AZ21" s="131"/>
      <c r="BA21" s="131"/>
      <c r="BB21" s="131"/>
      <c r="BC21" s="131"/>
      <c r="BD21" s="131"/>
      <c r="BE21" s="131"/>
      <c r="BF21" s="131"/>
      <c r="BG21" s="133"/>
      <c r="BH21" s="131">
        <v>1</v>
      </c>
      <c r="BI21" s="131"/>
      <c r="BJ21" s="131"/>
      <c r="BK21" s="131"/>
      <c r="BL21" s="131"/>
      <c r="BM21" s="131"/>
      <c r="BN21" s="131"/>
      <c r="BO21" s="131"/>
      <c r="BP21" s="131"/>
    </row>
    <row r="22" spans="1:81" s="44" customFormat="1" ht="30" customHeight="1" x14ac:dyDescent="0.25">
      <c r="A22" s="32">
        <f>Psychologia!A22</f>
        <v>3</v>
      </c>
      <c r="B22" s="127" t="str">
        <f>IF(Psychologia!B22&gt;0,Psychologia!B22," ")</f>
        <v xml:space="preserve"> </v>
      </c>
      <c r="C22" s="128" t="str">
        <f>IF(Psychologia!C22&gt;0,Psychologia!C22," ")</f>
        <v>2026/2027</v>
      </c>
      <c r="D22" s="128" t="str">
        <f>IF(Psychologia!D22&gt;0,Psychologia!D22," ")</f>
        <v xml:space="preserve"> </v>
      </c>
      <c r="E22" s="127">
        <f>IF(Psychologia!E22&gt;0,Psychologia!E22," ")</f>
        <v>1</v>
      </c>
      <c r="F22" s="32" t="str">
        <f>IF(Psychologia!F22&gt;0,Psychologia!F22," ")</f>
        <v>2026/2027</v>
      </c>
      <c r="G22" s="32" t="str">
        <f>IF(Psychologia!G22&gt;0,Psychologia!G22," ")</f>
        <v>RPS</v>
      </c>
      <c r="H22" s="122" t="str">
        <f>IF(Psychologia!H22&gt;0,Psychologia!H22," ")</f>
        <v xml:space="preserve"> </v>
      </c>
      <c r="I22" s="122" t="str">
        <f>IF(Psychologia!I22&gt;0,Psychologia!I22," ")</f>
        <v>Filozofia z logiką</v>
      </c>
      <c r="J22" s="123">
        <f>Psychologia!Y22+Psychologia!AV22</f>
        <v>125</v>
      </c>
      <c r="K22" s="124">
        <f>Psychologia!AS22+Psychologia!BP22</f>
        <v>75</v>
      </c>
      <c r="L22" s="125">
        <f>Psychologia!Z22+Psychologia!AW22</f>
        <v>50</v>
      </c>
      <c r="M22" s="126">
        <f>Psychologia!AB22+Psychologia!AD22+Psychologia!AY22+Psychologia!BA22</f>
        <v>30</v>
      </c>
      <c r="N22" s="220">
        <f>Psychologia!AA22+Psychologia!AX22</f>
        <v>50</v>
      </c>
      <c r="O22" s="232">
        <f>Psychologia!X22+Psychologia!AU22</f>
        <v>5</v>
      </c>
      <c r="P22" s="128" t="str">
        <f>IF(Psychologia!V22&gt;0,Psychologia!V22," ")</f>
        <v>egz</v>
      </c>
      <c r="Q22" s="150">
        <f t="shared" si="0"/>
        <v>1</v>
      </c>
      <c r="R22" s="135">
        <f t="shared" si="1"/>
        <v>1</v>
      </c>
      <c r="S22" s="161">
        <f t="shared" si="2"/>
        <v>1</v>
      </c>
      <c r="T22" s="132">
        <v>1</v>
      </c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3"/>
      <c r="AF22" s="132"/>
      <c r="AG22" s="131"/>
      <c r="AH22" s="131">
        <v>1</v>
      </c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3"/>
      <c r="BH22" s="131">
        <v>1</v>
      </c>
      <c r="BI22" s="131"/>
      <c r="BJ22" s="131"/>
      <c r="BK22" s="131"/>
      <c r="BL22" s="131"/>
      <c r="BM22" s="131"/>
      <c r="BN22" s="131"/>
      <c r="BO22" s="131"/>
      <c r="BP22" s="131"/>
    </row>
    <row r="23" spans="1:81" s="44" customFormat="1" ht="30" customHeight="1" x14ac:dyDescent="0.25">
      <c r="A23" s="32">
        <f>Psychologia!A23</f>
        <v>4</v>
      </c>
      <c r="B23" s="127" t="str">
        <f>IF(Psychologia!B23&gt;0,Psychologia!B23," ")</f>
        <v xml:space="preserve"> </v>
      </c>
      <c r="C23" s="128" t="str">
        <f>IF(Psychologia!C23&gt;0,Psychologia!C23," ")</f>
        <v>2026/2027</v>
      </c>
      <c r="D23" s="128" t="str">
        <f>IF(Psychologia!D23&gt;0,Psychologia!D23," ")</f>
        <v xml:space="preserve"> </v>
      </c>
      <c r="E23" s="127">
        <f>IF(Psychologia!E23&gt;0,Psychologia!E23," ")</f>
        <v>1</v>
      </c>
      <c r="F23" s="32" t="str">
        <f>IF(Psychologia!F23&gt;0,Psychologia!F23," ")</f>
        <v>2026/2027</v>
      </c>
      <c r="G23" s="32" t="str">
        <f>IF(Psychologia!G23&gt;0,Psychologia!G23," ")</f>
        <v>RPS</v>
      </c>
      <c r="H23" s="122" t="str">
        <f>IF(Psychologia!H23&gt;0,Psychologia!H23," ")</f>
        <v xml:space="preserve"> </v>
      </c>
      <c r="I23" s="122" t="str">
        <f>IF(Psychologia!I23&gt;0,Psychologia!I23," ")</f>
        <v>Psychogenetyka</v>
      </c>
      <c r="J23" s="123">
        <f>Psychologia!Y23+Psychologia!AV23</f>
        <v>50</v>
      </c>
      <c r="K23" s="124">
        <f>Psychologia!AS23+Psychologia!BP23</f>
        <v>15</v>
      </c>
      <c r="L23" s="125">
        <f>Psychologia!Z23+Psychologia!AW23</f>
        <v>35</v>
      </c>
      <c r="M23" s="126">
        <f>Psychologia!AB23+Psychologia!AD23+Psychologia!AY23+Psychologia!BA23</f>
        <v>15</v>
      </c>
      <c r="N23" s="220">
        <f>Psychologia!AA23+Psychologia!AX23</f>
        <v>35</v>
      </c>
      <c r="O23" s="232">
        <f>Psychologia!X23+Psychologia!AU23</f>
        <v>2</v>
      </c>
      <c r="P23" s="128" t="str">
        <f>IF(Psychologia!V23&gt;0,Psychologia!V23," ")</f>
        <v>zal/o</v>
      </c>
      <c r="Q23" s="150">
        <f t="shared" si="0"/>
        <v>3</v>
      </c>
      <c r="R23" s="135">
        <f t="shared" si="1"/>
        <v>1</v>
      </c>
      <c r="S23" s="161">
        <f t="shared" si="2"/>
        <v>1</v>
      </c>
      <c r="T23" s="132"/>
      <c r="U23" s="131"/>
      <c r="V23" s="131"/>
      <c r="W23" s="131"/>
      <c r="X23" s="131"/>
      <c r="Y23" s="131">
        <v>1</v>
      </c>
      <c r="Z23" s="131">
        <v>1</v>
      </c>
      <c r="AA23" s="131">
        <v>1</v>
      </c>
      <c r="AB23" s="131"/>
      <c r="AC23" s="131"/>
      <c r="AD23" s="131"/>
      <c r="AE23" s="133"/>
      <c r="AF23" s="132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>
        <v>1</v>
      </c>
      <c r="BB23" s="131"/>
      <c r="BC23" s="131"/>
      <c r="BD23" s="131"/>
      <c r="BE23" s="131"/>
      <c r="BF23" s="131"/>
      <c r="BG23" s="133"/>
      <c r="BH23" s="131">
        <v>1</v>
      </c>
      <c r="BI23" s="131"/>
      <c r="BJ23" s="131"/>
      <c r="BK23" s="131"/>
      <c r="BL23" s="131"/>
      <c r="BM23" s="131"/>
      <c r="BN23" s="131"/>
      <c r="BO23" s="131"/>
      <c r="BP23" s="131"/>
    </row>
    <row r="24" spans="1:81" s="44" customFormat="1" ht="30" customHeight="1" x14ac:dyDescent="0.25">
      <c r="A24" s="32">
        <f>Psychologia!A24</f>
        <v>5</v>
      </c>
      <c r="B24" s="127" t="str">
        <f>IF(Psychologia!B24&gt;0,Psychologia!B24," ")</f>
        <v xml:space="preserve"> </v>
      </c>
      <c r="C24" s="128" t="str">
        <f>IF(Psychologia!C24&gt;0,Psychologia!C24," ")</f>
        <v>2026/2027</v>
      </c>
      <c r="D24" s="128" t="str">
        <f>IF(Psychologia!D24&gt;0,Psychologia!D24," ")</f>
        <v xml:space="preserve"> </v>
      </c>
      <c r="E24" s="127">
        <f>IF(Psychologia!E24&gt;0,Psychologia!E24," ")</f>
        <v>1</v>
      </c>
      <c r="F24" s="32" t="str">
        <f>IF(Psychologia!F24&gt;0,Psychologia!F24," ")</f>
        <v>2026/2027</v>
      </c>
      <c r="G24" s="32" t="str">
        <f>IF(Psychologia!G24&gt;0,Psychologia!G24," ")</f>
        <v>RPS</v>
      </c>
      <c r="H24" s="122" t="str">
        <f>IF(Psychologia!H24&gt;0,Psychologia!H24," ")</f>
        <v xml:space="preserve"> </v>
      </c>
      <c r="I24" s="122" t="str">
        <f>IF(Psychologia!I24&gt;0,Psychologia!I24," ")</f>
        <v>Kompetencje akademickie</v>
      </c>
      <c r="J24" s="123">
        <f>Psychologia!Y24+Psychologia!AV24</f>
        <v>28</v>
      </c>
      <c r="K24" s="124">
        <f>Psychologia!AS24+Psychologia!BP24</f>
        <v>0</v>
      </c>
      <c r="L24" s="125">
        <f>Psychologia!Z24+Psychologia!AW24</f>
        <v>28</v>
      </c>
      <c r="M24" s="126">
        <f>Psychologia!AB24+Psychologia!AD24+Psychologia!AY24+Psychologia!BA24</f>
        <v>0</v>
      </c>
      <c r="N24" s="220">
        <f>Psychologia!AA24+Psychologia!AX24</f>
        <v>28</v>
      </c>
      <c r="O24" s="232">
        <f>Psychologia!X24+Psychologia!AU24</f>
        <v>0</v>
      </c>
      <c r="P24" s="128" t="str">
        <f>IF(Psychologia!V24&gt;0,Psychologia!V24," ")</f>
        <v>zal</v>
      </c>
      <c r="Q24" s="150">
        <f t="shared" si="0"/>
        <v>0</v>
      </c>
      <c r="R24" s="135">
        <f t="shared" si="1"/>
        <v>2</v>
      </c>
      <c r="S24" s="161">
        <f t="shared" si="2"/>
        <v>1</v>
      </c>
      <c r="T24" s="132"/>
      <c r="U24" s="131"/>
      <c r="V24" s="131"/>
      <c r="W24" s="131"/>
      <c r="X24" s="131"/>
      <c r="Y24" s="131"/>
      <c r="Z24" s="131"/>
      <c r="AA24" s="131"/>
      <c r="AB24" s="131"/>
      <c r="AC24" s="131"/>
      <c r="AD24" s="131"/>
      <c r="AE24" s="133"/>
      <c r="AF24" s="132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>
        <v>1</v>
      </c>
      <c r="AS24" s="131"/>
      <c r="AT24" s="131"/>
      <c r="AU24" s="131"/>
      <c r="AV24" s="131">
        <v>1</v>
      </c>
      <c r="AW24" s="131"/>
      <c r="AX24" s="131"/>
      <c r="AY24" s="131"/>
      <c r="AZ24" s="131"/>
      <c r="BA24" s="131"/>
      <c r="BB24" s="131"/>
      <c r="BC24" s="131"/>
      <c r="BD24" s="131"/>
      <c r="BE24" s="131"/>
      <c r="BF24" s="131"/>
      <c r="BG24" s="133"/>
      <c r="BH24" s="131">
        <v>1</v>
      </c>
      <c r="BI24" s="131"/>
      <c r="BJ24" s="131"/>
      <c r="BK24" s="131"/>
      <c r="BL24" s="131"/>
      <c r="BM24" s="131"/>
      <c r="BN24" s="131"/>
      <c r="BO24" s="131"/>
      <c r="BP24" s="131"/>
    </row>
    <row r="25" spans="1:81" s="44" customFormat="1" ht="30" customHeight="1" x14ac:dyDescent="0.25">
      <c r="A25" s="32">
        <f>Psychologia!A25</f>
        <v>6</v>
      </c>
      <c r="B25" s="127" t="str">
        <f>IF(Psychologia!B25&gt;0,Psychologia!B25," ")</f>
        <v xml:space="preserve"> </v>
      </c>
      <c r="C25" s="128" t="str">
        <f>IF(Psychologia!C25&gt;0,Psychologia!C25," ")</f>
        <v>2026/2027</v>
      </c>
      <c r="D25" s="128" t="str">
        <f>IF(Psychologia!D25&gt;0,Psychologia!D25," ")</f>
        <v xml:space="preserve"> </v>
      </c>
      <c r="E25" s="127">
        <f>IF(Psychologia!E25&gt;0,Psychologia!E25," ")</f>
        <v>1</v>
      </c>
      <c r="F25" s="32" t="str">
        <f>IF(Psychologia!F25&gt;0,Psychologia!F25," ")</f>
        <v>2026/2027</v>
      </c>
      <c r="G25" s="32" t="str">
        <f>IF(Psychologia!G25&gt;0,Psychologia!G25," ")</f>
        <v>RPS</v>
      </c>
      <c r="H25" s="122" t="str">
        <f>IF(Psychologia!H25&gt;0,Psychologia!H25," ")</f>
        <v xml:space="preserve"> </v>
      </c>
      <c r="I25" s="122" t="str">
        <f>IF(Psychologia!I25&gt;0,Psychologia!I25," ")</f>
        <v>Lektorat z języka angielskiego I</v>
      </c>
      <c r="J25" s="123">
        <f>Psychologia!Y25+Psychologia!AV25</f>
        <v>50</v>
      </c>
      <c r="K25" s="124">
        <f>Psychologia!AS25+Psychologia!BP25</f>
        <v>20</v>
      </c>
      <c r="L25" s="125">
        <f>Psychologia!Z25+Psychologia!AW25</f>
        <v>30</v>
      </c>
      <c r="M25" s="126">
        <f>Psychologia!AB25+Psychologia!AD25+Psychologia!AY25+Psychologia!BA25</f>
        <v>0</v>
      </c>
      <c r="N25" s="220">
        <f>Psychologia!AA25+Psychologia!AX25</f>
        <v>30</v>
      </c>
      <c r="O25" s="232">
        <f>Psychologia!X25+Psychologia!AU25</f>
        <v>2</v>
      </c>
      <c r="P25" s="128" t="str">
        <f>IF(Psychologia!V25&gt;0,Psychologia!V25," ")</f>
        <v>zal/o</v>
      </c>
      <c r="Q25" s="150">
        <f t="shared" si="0"/>
        <v>0</v>
      </c>
      <c r="R25" s="135">
        <f t="shared" si="1"/>
        <v>1</v>
      </c>
      <c r="S25" s="161">
        <f t="shared" si="2"/>
        <v>1</v>
      </c>
      <c r="T25" s="132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3"/>
      <c r="AF25" s="132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>
        <v>1</v>
      </c>
      <c r="AR25" s="131"/>
      <c r="AS25" s="131"/>
      <c r="AT25" s="131"/>
      <c r="AU25" s="131"/>
      <c r="AV25" s="131"/>
      <c r="AW25" s="131"/>
      <c r="AX25" s="131"/>
      <c r="AY25" s="131"/>
      <c r="AZ25" s="131"/>
      <c r="BA25" s="131"/>
      <c r="BB25" s="131"/>
      <c r="BC25" s="131"/>
      <c r="BD25" s="131"/>
      <c r="BE25" s="131"/>
      <c r="BF25" s="131"/>
      <c r="BG25" s="133"/>
      <c r="BH25" s="131">
        <v>1</v>
      </c>
      <c r="BI25" s="131"/>
      <c r="BJ25" s="131"/>
      <c r="BK25" s="131"/>
      <c r="BL25" s="131"/>
      <c r="BM25" s="131"/>
      <c r="BN25" s="131"/>
      <c r="BO25" s="131"/>
      <c r="BP25" s="131"/>
    </row>
    <row r="26" spans="1:81" s="44" customFormat="1" ht="30" customHeight="1" x14ac:dyDescent="0.25">
      <c r="A26" s="32">
        <f>Psychologia!A26</f>
        <v>7</v>
      </c>
      <c r="B26" s="127" t="str">
        <f>IF(Psychologia!B26&gt;0,Psychologia!B26," ")</f>
        <v xml:space="preserve"> </v>
      </c>
      <c r="C26" s="128" t="str">
        <f>IF(Psychologia!C26&gt;0,Psychologia!C26," ")</f>
        <v>2026/2027</v>
      </c>
      <c r="D26" s="128" t="str">
        <f>IF(Psychologia!D26&gt;0,Psychologia!D26," ")</f>
        <v xml:space="preserve"> </v>
      </c>
      <c r="E26" s="127">
        <f>IF(Psychologia!E26&gt;0,Psychologia!E26," ")</f>
        <v>1</v>
      </c>
      <c r="F26" s="32" t="str">
        <f>IF(Psychologia!F26&gt;0,Psychologia!F26," ")</f>
        <v>2026/2027</v>
      </c>
      <c r="G26" s="32" t="str">
        <f>IF(Psychologia!G26&gt;0,Psychologia!G26," ")</f>
        <v>RPS</v>
      </c>
      <c r="H26" s="122" t="str">
        <f>IF(Psychologia!H26&gt;0,Psychologia!H26," ")</f>
        <v xml:space="preserve"> </v>
      </c>
      <c r="I26" s="122" t="str">
        <f>IF(Psychologia!I26&gt;0,Psychologia!I26," ")</f>
        <v>Lektorat z języka angielskiego II</v>
      </c>
      <c r="J26" s="123">
        <f>Psychologia!Y26+Psychologia!AV26</f>
        <v>50</v>
      </c>
      <c r="K26" s="124">
        <f>Psychologia!AS26+Psychologia!BP26</f>
        <v>20</v>
      </c>
      <c r="L26" s="125">
        <f>Psychologia!Z26+Psychologia!AW26</f>
        <v>30</v>
      </c>
      <c r="M26" s="126">
        <f>Psychologia!AB26+Psychologia!AD26+Psychologia!AY26+Psychologia!BA26</f>
        <v>0</v>
      </c>
      <c r="N26" s="220">
        <f>Psychologia!AA26+Psychologia!AX26</f>
        <v>30</v>
      </c>
      <c r="O26" s="232">
        <f>Psychologia!X26+Psychologia!AU26</f>
        <v>2</v>
      </c>
      <c r="P26" s="128" t="str">
        <f>IF(Psychologia!V26&gt;0,Psychologia!V26," ")</f>
        <v>zal/o</v>
      </c>
      <c r="Q26" s="150">
        <f t="shared" si="0"/>
        <v>0</v>
      </c>
      <c r="R26" s="135">
        <f t="shared" ref="R26" si="3">SUM(AF26:BG26)</f>
        <v>1</v>
      </c>
      <c r="S26" s="161">
        <f t="shared" si="2"/>
        <v>1</v>
      </c>
      <c r="T26" s="132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3"/>
      <c r="AF26" s="132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>
        <v>1</v>
      </c>
      <c r="AR26" s="131"/>
      <c r="AS26" s="131"/>
      <c r="AT26" s="131"/>
      <c r="AU26" s="131"/>
      <c r="AV26" s="131"/>
      <c r="AW26" s="131"/>
      <c r="AX26" s="131"/>
      <c r="AY26" s="131"/>
      <c r="AZ26" s="131"/>
      <c r="BA26" s="131"/>
      <c r="BB26" s="131"/>
      <c r="BC26" s="131"/>
      <c r="BD26" s="131"/>
      <c r="BE26" s="131"/>
      <c r="BF26" s="131"/>
      <c r="BG26" s="133"/>
      <c r="BH26" s="131">
        <v>1</v>
      </c>
      <c r="BI26" s="131"/>
      <c r="BJ26" s="131"/>
      <c r="BK26" s="131"/>
      <c r="BL26" s="131"/>
      <c r="BM26" s="131"/>
      <c r="BN26" s="131"/>
      <c r="BO26" s="131"/>
      <c r="BP26" s="131"/>
    </row>
    <row r="27" spans="1:81" s="44" customFormat="1" ht="30" customHeight="1" x14ac:dyDescent="0.25">
      <c r="A27" s="32">
        <f>Psychologia!A27</f>
        <v>8</v>
      </c>
      <c r="B27" s="127" t="str">
        <f>IF(Psychologia!B27&gt;0,Psychologia!B27," ")</f>
        <v xml:space="preserve"> </v>
      </c>
      <c r="C27" s="128" t="str">
        <f>IF(Psychologia!C27&gt;0,Psychologia!C27," ")</f>
        <v>2026/2027</v>
      </c>
      <c r="D27" s="128" t="str">
        <f>IF(Psychologia!D27&gt;0,Psychologia!D27," ")</f>
        <v xml:space="preserve"> </v>
      </c>
      <c r="E27" s="127">
        <f>IF(Psychologia!E27&gt;0,Psychologia!E27," ")</f>
        <v>1</v>
      </c>
      <c r="F27" s="32" t="str">
        <f>IF(Psychologia!F27&gt;0,Psychologia!F27," ")</f>
        <v>2026/2027</v>
      </c>
      <c r="G27" s="32" t="str">
        <f>IF(Psychologia!G27&gt;0,Psychologia!G27," ")</f>
        <v>RPS</v>
      </c>
      <c r="H27" s="122" t="str">
        <f>IF(Psychologia!H27&gt;0,Psychologia!H27," ")</f>
        <v xml:space="preserve"> </v>
      </c>
      <c r="I27" s="122" t="str">
        <f>IF(Psychologia!I27&gt;0,Psychologia!I27," ")</f>
        <v>Neurobiologia i mechanizmy zachowania</v>
      </c>
      <c r="J27" s="123">
        <f>Psychologia!Y27+Psychologia!AV27</f>
        <v>80</v>
      </c>
      <c r="K27" s="124">
        <f>Psychologia!AS27+Psychologia!BP27</f>
        <v>60</v>
      </c>
      <c r="L27" s="125">
        <f>Psychologia!Z27+Psychologia!AW27</f>
        <v>20</v>
      </c>
      <c r="M27" s="126">
        <f>Psychologia!AB27+Psychologia!AD27+Psychologia!AY27+Psychologia!BA27</f>
        <v>10</v>
      </c>
      <c r="N27" s="220">
        <f>Psychologia!AA27+Psychologia!AX27</f>
        <v>20</v>
      </c>
      <c r="O27" s="232">
        <f>Psychologia!X27+Psychologia!AU27</f>
        <v>3</v>
      </c>
      <c r="P27" s="128" t="str">
        <f>IF(Psychologia!V27&gt;0,Psychologia!V27," ")</f>
        <v>zal/o</v>
      </c>
      <c r="Q27" s="150">
        <f t="shared" si="0"/>
        <v>2</v>
      </c>
      <c r="R27" s="135">
        <f t="shared" si="1"/>
        <v>1</v>
      </c>
      <c r="S27" s="161">
        <f t="shared" si="2"/>
        <v>1</v>
      </c>
      <c r="T27" s="132"/>
      <c r="U27" s="131"/>
      <c r="V27" s="131"/>
      <c r="W27" s="131"/>
      <c r="X27" s="131"/>
      <c r="Y27" s="131">
        <v>1</v>
      </c>
      <c r="Z27" s="131"/>
      <c r="AA27" s="131">
        <v>1</v>
      </c>
      <c r="AB27" s="131"/>
      <c r="AC27" s="131"/>
      <c r="AD27" s="131"/>
      <c r="AE27" s="133"/>
      <c r="AF27" s="132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131"/>
      <c r="AU27" s="131"/>
      <c r="AV27" s="131"/>
      <c r="AW27" s="131"/>
      <c r="AX27" s="131"/>
      <c r="AY27" s="131"/>
      <c r="AZ27" s="131"/>
      <c r="BA27" s="131">
        <v>1</v>
      </c>
      <c r="BB27" s="131"/>
      <c r="BC27" s="131"/>
      <c r="BD27" s="131"/>
      <c r="BE27" s="131"/>
      <c r="BF27" s="131"/>
      <c r="BG27" s="133"/>
      <c r="BH27" s="131">
        <v>1</v>
      </c>
      <c r="BI27" s="131"/>
      <c r="BJ27" s="131"/>
      <c r="BK27" s="131"/>
      <c r="BL27" s="131"/>
      <c r="BM27" s="131"/>
      <c r="BN27" s="131"/>
      <c r="BO27" s="131"/>
      <c r="BP27" s="131"/>
    </row>
    <row r="28" spans="1:81" s="44" customFormat="1" ht="29.25" customHeight="1" x14ac:dyDescent="0.25">
      <c r="A28" s="32">
        <f>Psychologia!A28</f>
        <v>9</v>
      </c>
      <c r="B28" s="127" t="str">
        <f>IF(Psychologia!B28&gt;0,Psychologia!B28," ")</f>
        <v xml:space="preserve"> </v>
      </c>
      <c r="C28" s="128" t="str">
        <f>IF(Psychologia!C28&gt;0,Psychologia!C28," ")</f>
        <v>2026/2027</v>
      </c>
      <c r="D28" s="128" t="str">
        <f>IF(Psychologia!D28&gt;0,Psychologia!D28," ")</f>
        <v xml:space="preserve"> </v>
      </c>
      <c r="E28" s="127">
        <f>IF(Psychologia!E28&gt;0,Psychologia!E28," ")</f>
        <v>1</v>
      </c>
      <c r="F28" s="32" t="str">
        <f>IF(Psychologia!F28&gt;0,Psychologia!F28," ")</f>
        <v>2026/2027</v>
      </c>
      <c r="G28" s="32" t="str">
        <f>IF(Psychologia!G28&gt;0,Psychologia!G28," ")</f>
        <v>RPS</v>
      </c>
      <c r="H28" s="122" t="str">
        <f>IF(Psychologia!H28&gt;0,Psychologia!H28," ")</f>
        <v xml:space="preserve"> </v>
      </c>
      <c r="I28" s="122" t="str">
        <f>IF(Psychologia!I28&gt;0,Psychologia!I28," ")</f>
        <v>Podstawy neurofizjologii dla psychologów</v>
      </c>
      <c r="J28" s="123">
        <f>Psychologia!Y28+Psychologia!AV28</f>
        <v>100</v>
      </c>
      <c r="K28" s="124">
        <f>Psychologia!AS28+Psychologia!BP28</f>
        <v>65</v>
      </c>
      <c r="L28" s="125">
        <f>Psychologia!Z28+Psychologia!AW28</f>
        <v>35</v>
      </c>
      <c r="M28" s="126">
        <f>Psychologia!AB28+Psychologia!AD28+Psychologia!AY28+Psychologia!BA28</f>
        <v>10</v>
      </c>
      <c r="N28" s="220">
        <f>Psychologia!AA28+Psychologia!AX28</f>
        <v>35</v>
      </c>
      <c r="O28" s="232">
        <f>Psychologia!X28+Psychologia!AU28</f>
        <v>4</v>
      </c>
      <c r="P28" s="128" t="str">
        <f>IF(Psychologia!V28&gt;0,Psychologia!V28," ")</f>
        <v>egz</v>
      </c>
      <c r="Q28" s="150">
        <f t="shared" si="0"/>
        <v>2</v>
      </c>
      <c r="R28" s="135">
        <f t="shared" si="1"/>
        <v>2</v>
      </c>
      <c r="S28" s="161">
        <f t="shared" si="2"/>
        <v>1</v>
      </c>
      <c r="T28" s="132"/>
      <c r="U28" s="131"/>
      <c r="V28" s="131"/>
      <c r="W28" s="131"/>
      <c r="X28" s="131"/>
      <c r="Y28" s="131">
        <v>1</v>
      </c>
      <c r="Z28" s="131"/>
      <c r="AA28" s="131">
        <v>1</v>
      </c>
      <c r="AB28" s="131"/>
      <c r="AC28" s="131"/>
      <c r="AD28" s="131"/>
      <c r="AE28" s="133"/>
      <c r="AF28" s="132"/>
      <c r="AG28" s="131"/>
      <c r="AH28" s="131"/>
      <c r="AI28" s="131"/>
      <c r="AJ28" s="131"/>
      <c r="AK28" s="131"/>
      <c r="AL28" s="131"/>
      <c r="AM28" s="131"/>
      <c r="AN28" s="131"/>
      <c r="AO28" s="131"/>
      <c r="AP28" s="131"/>
      <c r="AQ28" s="131"/>
      <c r="AR28" s="131"/>
      <c r="AS28" s="131"/>
      <c r="AT28" s="131"/>
      <c r="AU28" s="131"/>
      <c r="AV28" s="131"/>
      <c r="AW28" s="131"/>
      <c r="AX28" s="131"/>
      <c r="AY28" s="131"/>
      <c r="AZ28" s="131">
        <v>1</v>
      </c>
      <c r="BA28" s="131">
        <v>1</v>
      </c>
      <c r="BB28" s="131"/>
      <c r="BC28" s="131"/>
      <c r="BD28" s="131"/>
      <c r="BE28" s="131"/>
      <c r="BF28" s="131"/>
      <c r="BG28" s="133"/>
      <c r="BH28" s="131">
        <v>1</v>
      </c>
      <c r="BI28" s="131"/>
      <c r="BJ28" s="131"/>
      <c r="BK28" s="131"/>
      <c r="BL28" s="131"/>
      <c r="BM28" s="131"/>
      <c r="BN28" s="131"/>
      <c r="BO28" s="131"/>
      <c r="BP28" s="131"/>
    </row>
    <row r="29" spans="1:81" s="44" customFormat="1" ht="30" customHeight="1" x14ac:dyDescent="0.25">
      <c r="A29" s="32">
        <f>Psychologia!A29</f>
        <v>10</v>
      </c>
      <c r="B29" s="127" t="str">
        <f>IF(Psychologia!B29&gt;0,Psychologia!B29," ")</f>
        <v xml:space="preserve"> </v>
      </c>
      <c r="C29" s="128" t="str">
        <f>IF(Psychologia!C29&gt;0,Psychologia!C29," ")</f>
        <v>2026/2027</v>
      </c>
      <c r="D29" s="128" t="str">
        <f>IF(Psychologia!D29&gt;0,Psychologia!D29," ")</f>
        <v xml:space="preserve"> </v>
      </c>
      <c r="E29" s="127">
        <f>IF(Psychologia!E29&gt;0,Psychologia!E29," ")</f>
        <v>1</v>
      </c>
      <c r="F29" s="32" t="str">
        <f>IF(Psychologia!F29&gt;0,Psychologia!F29," ")</f>
        <v>2026/2027</v>
      </c>
      <c r="G29" s="32" t="str">
        <f>IF(Psychologia!G29&gt;0,Psychologia!G29," ")</f>
        <v>RPS</v>
      </c>
      <c r="H29" s="122" t="str">
        <f>IF(Psychologia!H29&gt;0,Psychologia!H29," ")</f>
        <v xml:space="preserve"> </v>
      </c>
      <c r="I29" s="122" t="str">
        <f>IF(Psychologia!I29&gt;0,Psychologia!I29," ")</f>
        <v>Pierwsza pomoc medyczna</v>
      </c>
      <c r="J29" s="123">
        <f>Psychologia!Y29+Psychologia!AV29</f>
        <v>25</v>
      </c>
      <c r="K29" s="124">
        <f>Psychologia!AS29+Psychologia!BP29</f>
        <v>10</v>
      </c>
      <c r="L29" s="125">
        <f>Psychologia!Z29+Psychologia!AW29</f>
        <v>15</v>
      </c>
      <c r="M29" s="126">
        <f>Psychologia!AB29+Psychologia!AD29+Psychologia!AY29+Psychologia!BA29</f>
        <v>5</v>
      </c>
      <c r="N29" s="220">
        <f>Psychologia!AA29+Psychologia!AX29</f>
        <v>15</v>
      </c>
      <c r="O29" s="232">
        <f>Psychologia!X29+Psychologia!AU29</f>
        <v>1</v>
      </c>
      <c r="P29" s="128" t="str">
        <f>IF(Psychologia!V29&gt;0,Psychologia!V29," ")</f>
        <v>zal/o</v>
      </c>
      <c r="Q29" s="150">
        <f t="shared" si="0"/>
        <v>0</v>
      </c>
      <c r="R29" s="135">
        <f t="shared" si="1"/>
        <v>2</v>
      </c>
      <c r="S29" s="161">
        <f t="shared" si="2"/>
        <v>1</v>
      </c>
      <c r="T29" s="132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3"/>
      <c r="AF29" s="132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/>
      <c r="BA29" s="131"/>
      <c r="BB29" s="131"/>
      <c r="BC29" s="131">
        <v>1</v>
      </c>
      <c r="BD29" s="131">
        <v>1</v>
      </c>
      <c r="BE29" s="131"/>
      <c r="BF29" s="131"/>
      <c r="BG29" s="133"/>
      <c r="BH29" s="131"/>
      <c r="BI29" s="131"/>
      <c r="BJ29" s="131"/>
      <c r="BK29" s="131"/>
      <c r="BL29" s="131">
        <v>1</v>
      </c>
      <c r="BM29" s="131"/>
      <c r="BN29" s="131"/>
      <c r="BO29" s="131"/>
      <c r="BP29" s="131"/>
    </row>
    <row r="30" spans="1:81" s="44" customFormat="1" ht="30" customHeight="1" x14ac:dyDescent="0.25">
      <c r="A30" s="32">
        <f>Psychologia!A30</f>
        <v>11</v>
      </c>
      <c r="B30" s="127" t="str">
        <f>IF(Psychologia!B30&gt;0,Psychologia!B30," ")</f>
        <v xml:space="preserve"> </v>
      </c>
      <c r="C30" s="128" t="str">
        <f>IF(Psychologia!C30&gt;0,Psychologia!C30," ")</f>
        <v>2026/2027</v>
      </c>
      <c r="D30" s="128" t="str">
        <f>IF(Psychologia!D30&gt;0,Psychologia!D30," ")</f>
        <v xml:space="preserve"> </v>
      </c>
      <c r="E30" s="127">
        <f>IF(Psychologia!E30&gt;0,Psychologia!E30," ")</f>
        <v>1</v>
      </c>
      <c r="F30" s="32" t="str">
        <f>IF(Psychologia!F30&gt;0,Psychologia!F30," ")</f>
        <v>2026/2027</v>
      </c>
      <c r="G30" s="32" t="str">
        <f>IF(Psychologia!G30&gt;0,Psychologia!G30," ")</f>
        <v>RPS</v>
      </c>
      <c r="H30" s="122" t="str">
        <f>IF(Psychologia!H30&gt;0,Psychologia!H30," ")</f>
        <v xml:space="preserve"> </v>
      </c>
      <c r="I30" s="122" t="str">
        <f>IF(Psychologia!I30&gt;0,Psychologia!I30," ")</f>
        <v xml:space="preserve">Podstawy technologii informacyjnej </v>
      </c>
      <c r="J30" s="123">
        <f>Psychologia!Y30+Psychologia!AV30</f>
        <v>50</v>
      </c>
      <c r="K30" s="124">
        <f>Psychologia!AS30+Psychologia!BP30</f>
        <v>20</v>
      </c>
      <c r="L30" s="125">
        <f>Psychologia!Z30+Psychologia!AW30</f>
        <v>30</v>
      </c>
      <c r="M30" s="126">
        <f>Psychologia!AB30+Psychologia!AD30+Psychologia!AY30+Psychologia!BA30</f>
        <v>0</v>
      </c>
      <c r="N30" s="220">
        <f>Psychologia!AA30+Psychologia!AX30</f>
        <v>30</v>
      </c>
      <c r="O30" s="232">
        <f>Psychologia!X30+Psychologia!AU30</f>
        <v>2</v>
      </c>
      <c r="P30" s="128" t="str">
        <f>IF(Psychologia!V30&gt;0,Psychologia!V30," ")</f>
        <v>zal/o</v>
      </c>
      <c r="Q30" s="150">
        <f t="shared" si="0"/>
        <v>1</v>
      </c>
      <c r="R30" s="135">
        <f t="shared" si="1"/>
        <v>1</v>
      </c>
      <c r="S30" s="161">
        <f t="shared" si="2"/>
        <v>2</v>
      </c>
      <c r="T30" s="132"/>
      <c r="U30" s="131"/>
      <c r="V30" s="131"/>
      <c r="W30" s="131"/>
      <c r="X30" s="131"/>
      <c r="Y30" s="131"/>
      <c r="Z30" s="131"/>
      <c r="AA30" s="131"/>
      <c r="AB30" s="131"/>
      <c r="AC30" s="131"/>
      <c r="AD30" s="131">
        <v>1</v>
      </c>
      <c r="AE30" s="133"/>
      <c r="AF30" s="132"/>
      <c r="AG30" s="131"/>
      <c r="AH30" s="131"/>
      <c r="AI30" s="131"/>
      <c r="AJ30" s="131"/>
      <c r="AK30" s="131"/>
      <c r="AL30" s="131"/>
      <c r="AM30" s="131"/>
      <c r="AN30" s="131"/>
      <c r="AO30" s="131"/>
      <c r="AP30" s="131"/>
      <c r="AQ30" s="131"/>
      <c r="AR30" s="131"/>
      <c r="AS30" s="131"/>
      <c r="AT30" s="131"/>
      <c r="AU30" s="131"/>
      <c r="AV30" s="131"/>
      <c r="AW30" s="131"/>
      <c r="AX30" s="131"/>
      <c r="AY30" s="131"/>
      <c r="AZ30" s="131"/>
      <c r="BA30" s="131"/>
      <c r="BB30" s="131"/>
      <c r="BC30" s="131"/>
      <c r="BD30" s="131"/>
      <c r="BE30" s="131"/>
      <c r="BF30" s="131">
        <v>1</v>
      </c>
      <c r="BG30" s="133"/>
      <c r="BH30" s="131">
        <v>1</v>
      </c>
      <c r="BI30" s="131"/>
      <c r="BJ30" s="131"/>
      <c r="BK30" s="131"/>
      <c r="BL30" s="131"/>
      <c r="BM30" s="131"/>
      <c r="BN30" s="131"/>
      <c r="BO30" s="131"/>
      <c r="BP30" s="131">
        <v>1</v>
      </c>
    </row>
    <row r="31" spans="1:81" s="44" customFormat="1" ht="78.75" x14ac:dyDescent="0.25">
      <c r="A31" s="32">
        <f>Psychologia!A31</f>
        <v>12</v>
      </c>
      <c r="B31" s="127" t="str">
        <f>IF(Psychologia!B31&gt;0,Psychologia!B31," ")</f>
        <v xml:space="preserve"> </v>
      </c>
      <c r="C31" s="128" t="str">
        <f>IF(Psychologia!C31&gt;0,Psychologia!C31," ")</f>
        <v>2026/2027</v>
      </c>
      <c r="D31" s="128" t="str">
        <f>IF(Psychologia!D31&gt;0,Psychologia!D31," ")</f>
        <v xml:space="preserve"> </v>
      </c>
      <c r="E31" s="127">
        <f>IF(Psychologia!E31&gt;0,Psychologia!E31," ")</f>
        <v>1</v>
      </c>
      <c r="F31" s="32" t="str">
        <f>IF(Psychologia!F31&gt;0,Psychologia!F31," ")</f>
        <v>2026/2027</v>
      </c>
      <c r="G31" s="32" t="str">
        <f>IF(Psychologia!G31&gt;0,Psychologia!G31," ")</f>
        <v>POW</v>
      </c>
      <c r="H31" s="122" t="str">
        <f>IF(Psychologia!H31&gt;0,Psychologia!H31," ")</f>
        <v xml:space="preserve"> </v>
      </c>
      <c r="I31" s="599" t="str">
        <f>IF(Psychologia!I31&gt;0,Psychologia!I31," ")</f>
        <v xml:space="preserve">Przedmiot fakultatywny 1: Rola organizacji pozarządowych w systemie ochrony zdrowia / Sport, umysł i granice ludzkich możliwości </v>
      </c>
      <c r="J31" s="123">
        <f>Psychologia!Y31+Psychologia!AV31</f>
        <v>50</v>
      </c>
      <c r="K31" s="124">
        <f>Psychologia!AS31+Psychologia!BP31</f>
        <v>10</v>
      </c>
      <c r="L31" s="125">
        <f>Psychologia!Z31+Psychologia!AW31</f>
        <v>40</v>
      </c>
      <c r="M31" s="354">
        <f>Psychologia!AB31+Psychologia!AD31+Psychologia!AY31+Psychologia!BA31</f>
        <v>0</v>
      </c>
      <c r="N31" s="220">
        <f>Psychologia!AA31+Psychologia!AX31</f>
        <v>40</v>
      </c>
      <c r="O31" s="232">
        <f>Psychologia!X31+Psychologia!AU31</f>
        <v>2</v>
      </c>
      <c r="P31" s="128" t="str">
        <f>IF(Psychologia!V31&gt;0,Psychologia!V31," ")</f>
        <v>zal/o</v>
      </c>
      <c r="Q31" s="150">
        <f t="shared" si="0"/>
        <v>0</v>
      </c>
      <c r="R31" s="135">
        <f t="shared" si="1"/>
        <v>0</v>
      </c>
      <c r="S31" s="161">
        <f t="shared" si="2"/>
        <v>0</v>
      </c>
      <c r="T31" s="132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3"/>
      <c r="AF31" s="132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  <c r="BE31" s="131"/>
      <c r="BF31" s="131"/>
      <c r="BG31" s="133"/>
      <c r="BH31" s="131"/>
      <c r="BI31" s="131"/>
      <c r="BJ31" s="131"/>
      <c r="BK31" s="131"/>
      <c r="BL31" s="131"/>
      <c r="BM31" s="131"/>
      <c r="BN31" s="131"/>
      <c r="BO31" s="131"/>
      <c r="BP31" s="131"/>
    </row>
    <row r="32" spans="1:81" s="44" customFormat="1" ht="63" x14ac:dyDescent="0.25">
      <c r="A32" s="32">
        <f>Psychologia!A32</f>
        <v>13</v>
      </c>
      <c r="B32" s="127" t="str">
        <f>IF(Psychologia!B32&gt;0,Psychologia!B32," ")</f>
        <v xml:space="preserve"> </v>
      </c>
      <c r="C32" s="128" t="str">
        <f>IF(Psychologia!C32&gt;0,Psychologia!C32," ")</f>
        <v>2026/2027</v>
      </c>
      <c r="D32" s="128" t="str">
        <f>IF(Psychologia!D32&gt;0,Psychologia!D32," ")</f>
        <v xml:space="preserve"> </v>
      </c>
      <c r="E32" s="127">
        <f>IF(Psychologia!E32&gt;0,Psychologia!E32," ")</f>
        <v>1</v>
      </c>
      <c r="F32" s="32" t="str">
        <f>IF(Psychologia!F32&gt;0,Psychologia!F32," ")</f>
        <v>2026/2027</v>
      </c>
      <c r="G32" s="32" t="str">
        <f>IF(Psychologia!G32&gt;0,Psychologia!G32," ")</f>
        <v>POW</v>
      </c>
      <c r="H32" s="122" t="str">
        <f>IF(Psychologia!H32&gt;0,Psychologia!H32," ")</f>
        <v xml:space="preserve"> </v>
      </c>
      <c r="I32" s="599" t="str">
        <f>IF(Psychologia!I32&gt;0,Psychologia!I32," ")</f>
        <v xml:space="preserve">Przedmiot fakultatywny 2: Społeczne przyczyny kryzysów psychicznych / Podstawy neurobiologii eksperymentalnej </v>
      </c>
      <c r="J32" s="123">
        <f>Psychologia!Y32+Psychologia!AV32</f>
        <v>50</v>
      </c>
      <c r="K32" s="124">
        <f>Psychologia!AS32+Psychologia!BP32</f>
        <v>10</v>
      </c>
      <c r="L32" s="125">
        <f>Psychologia!Z32+Psychologia!AW32</f>
        <v>40</v>
      </c>
      <c r="M32" s="126">
        <f>Psychologia!AB32+Psychologia!AD32+Psychologia!AY32+Psychologia!BA32</f>
        <v>10</v>
      </c>
      <c r="N32" s="220">
        <f>Psychologia!AA32+Psychologia!AX32</f>
        <v>40</v>
      </c>
      <c r="O32" s="232">
        <f>Psychologia!X32+Psychologia!AU32</f>
        <v>2</v>
      </c>
      <c r="P32" s="128" t="str">
        <f>IF(Psychologia!V32&gt;0,Psychologia!V32," ")</f>
        <v>zal/o</v>
      </c>
      <c r="Q32" s="150">
        <f t="shared" si="0"/>
        <v>0</v>
      </c>
      <c r="R32" s="135">
        <f t="shared" ref="R32" si="4">SUM(AF32:BG32)</f>
        <v>0</v>
      </c>
      <c r="S32" s="161">
        <f t="shared" si="2"/>
        <v>0</v>
      </c>
      <c r="T32" s="132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3"/>
      <c r="AF32" s="132"/>
      <c r="AG32" s="131"/>
      <c r="AH32" s="131"/>
      <c r="AI32" s="131"/>
      <c r="AJ32" s="131"/>
      <c r="AK32" s="131"/>
      <c r="AL32" s="131"/>
      <c r="AM32" s="131"/>
      <c r="AN32" s="131"/>
      <c r="AO32" s="131"/>
      <c r="AP32" s="131"/>
      <c r="AQ32" s="131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131"/>
      <c r="BD32" s="131"/>
      <c r="BE32" s="131"/>
      <c r="BF32" s="131"/>
      <c r="BG32" s="133"/>
      <c r="BH32" s="131"/>
      <c r="BI32" s="131"/>
      <c r="BJ32" s="131"/>
      <c r="BK32" s="131"/>
      <c r="BL32" s="131"/>
      <c r="BM32" s="131"/>
      <c r="BN32" s="131"/>
      <c r="BO32" s="131"/>
      <c r="BP32" s="131"/>
    </row>
    <row r="33" spans="1:74" s="44" customFormat="1" ht="30" customHeight="1" x14ac:dyDescent="0.25">
      <c r="A33" s="32">
        <f>Psychologia!A33</f>
        <v>14</v>
      </c>
      <c r="B33" s="127" t="str">
        <f>IF(Psychologia!B33&gt;0,Psychologia!B33," ")</f>
        <v xml:space="preserve"> </v>
      </c>
      <c r="C33" s="128" t="str">
        <f>IF(Psychologia!C33&gt;0,Psychologia!C33," ")</f>
        <v>2026/2027</v>
      </c>
      <c r="D33" s="128" t="str">
        <f>IF(Psychologia!D33&gt;0,Psychologia!D33," ")</f>
        <v xml:space="preserve"> </v>
      </c>
      <c r="E33" s="127">
        <f>IF(Psychologia!E33&gt;0,Psychologia!E33," ")</f>
        <v>1</v>
      </c>
      <c r="F33" s="32" t="str">
        <f>IF(Psychologia!F33&gt;0,Psychologia!F33," ")</f>
        <v>2026/2027</v>
      </c>
      <c r="G33" s="32" t="str">
        <f>IF(Psychologia!G33&gt;0,Psychologia!G33," ")</f>
        <v>RPS</v>
      </c>
      <c r="H33" s="122" t="str">
        <f>IF(Psychologia!H33&gt;0,Psychologia!H33," ")</f>
        <v xml:space="preserve"> </v>
      </c>
      <c r="I33" s="1085" t="str">
        <f>IF(Psychologia!I33&gt;0,Psychologia!I33," ")</f>
        <v>Psychologia ogólna</v>
      </c>
      <c r="J33" s="123">
        <f>Psychologia!Y33+Psychologia!AV33</f>
        <v>125</v>
      </c>
      <c r="K33" s="124">
        <f>Psychologia!AS33+Psychologia!BP33</f>
        <v>75</v>
      </c>
      <c r="L33" s="125">
        <f>Psychologia!Z33+Psychologia!AW33</f>
        <v>50</v>
      </c>
      <c r="M33" s="126">
        <f>Psychologia!AB33+Psychologia!AD33+Psychologia!AY33+Psychologia!BA33</f>
        <v>30</v>
      </c>
      <c r="N33" s="220">
        <f>Psychologia!AA33+Psychologia!AX33</f>
        <v>50</v>
      </c>
      <c r="O33" s="232">
        <f>Psychologia!X33+Psychologia!AU33</f>
        <v>5</v>
      </c>
      <c r="P33" s="128" t="str">
        <f>IF(Psychologia!V33&gt;0,Psychologia!V33," ")</f>
        <v>egz</v>
      </c>
      <c r="Q33" s="150">
        <f t="shared" ref="Q33:Q41" si="5">SUM(T33:AE33)</f>
        <v>1</v>
      </c>
      <c r="R33" s="135">
        <f t="shared" ref="R33:R41" si="6">SUM(AF33:BG33)</f>
        <v>1</v>
      </c>
      <c r="S33" s="161">
        <f t="shared" ref="S33:S41" si="7">SUM(BH33:BP33)</f>
        <v>1</v>
      </c>
      <c r="T33" s="132">
        <v>1</v>
      </c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3"/>
      <c r="AF33" s="132"/>
      <c r="AG33" s="131"/>
      <c r="AH33" s="131">
        <v>1</v>
      </c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3"/>
      <c r="BH33" s="131">
        <v>1</v>
      </c>
      <c r="BI33" s="131"/>
      <c r="BJ33" s="131"/>
      <c r="BK33" s="131"/>
      <c r="BL33" s="131"/>
      <c r="BM33" s="131"/>
      <c r="BN33" s="131"/>
      <c r="BO33" s="131"/>
      <c r="BP33" s="131"/>
    </row>
    <row r="34" spans="1:74" s="44" customFormat="1" ht="30" customHeight="1" x14ac:dyDescent="0.25">
      <c r="A34" s="32">
        <f>Psychologia!A34</f>
        <v>15</v>
      </c>
      <c r="B34" s="127" t="str">
        <f>IF(Psychologia!B34&gt;0,Psychologia!B34," ")</f>
        <v xml:space="preserve"> </v>
      </c>
      <c r="C34" s="128" t="str">
        <f>IF(Psychologia!C34&gt;0,Psychologia!C34," ")</f>
        <v>2026/2027</v>
      </c>
      <c r="D34" s="128" t="str">
        <f>IF(Psychologia!D34&gt;0,Psychologia!D34," ")</f>
        <v xml:space="preserve"> </v>
      </c>
      <c r="E34" s="127">
        <f>IF(Psychologia!E34&gt;0,Psychologia!E34," ")</f>
        <v>1</v>
      </c>
      <c r="F34" s="32" t="str">
        <f>IF(Psychologia!F34&gt;0,Psychologia!F34," ")</f>
        <v>2026/2027</v>
      </c>
      <c r="G34" s="32" t="str">
        <f>IF(Psychologia!G34&gt;0,Psychologia!G34," ")</f>
        <v>RPS</v>
      </c>
      <c r="H34" s="122" t="str">
        <f>IF(Psychologia!H34&gt;0,Psychologia!H34," ")</f>
        <v xml:space="preserve"> </v>
      </c>
      <c r="I34" s="1085" t="str">
        <f>IF(Psychologia!I34&gt;0,Psychologia!I34," ")</f>
        <v>Psychologia społeczna</v>
      </c>
      <c r="J34" s="123">
        <f>Psychologia!Y34+Psychologia!AV34</f>
        <v>125</v>
      </c>
      <c r="K34" s="124">
        <f>Psychologia!AS34+Psychologia!BP34</f>
        <v>75</v>
      </c>
      <c r="L34" s="125">
        <f>Psychologia!Z34+Psychologia!AW34</f>
        <v>50</v>
      </c>
      <c r="M34" s="126">
        <f>Psychologia!AB34+Psychologia!AD34+Psychologia!AY34+Psychologia!BA34</f>
        <v>30</v>
      </c>
      <c r="N34" s="220">
        <f>Psychologia!AA34+Psychologia!AX34</f>
        <v>50</v>
      </c>
      <c r="O34" s="232">
        <f>Psychologia!X34+Psychologia!AU34</f>
        <v>5</v>
      </c>
      <c r="P34" s="128" t="str">
        <f>IF(Psychologia!V34&gt;0,Psychologia!V34," ")</f>
        <v>egz</v>
      </c>
      <c r="Q34" s="150">
        <f t="shared" si="5"/>
        <v>1</v>
      </c>
      <c r="R34" s="135">
        <f t="shared" si="6"/>
        <v>1</v>
      </c>
      <c r="S34" s="161">
        <f t="shared" si="7"/>
        <v>2</v>
      </c>
      <c r="T34" s="132">
        <v>1</v>
      </c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3"/>
      <c r="AF34" s="132"/>
      <c r="AG34" s="131"/>
      <c r="AH34" s="131"/>
      <c r="AI34" s="131"/>
      <c r="AJ34" s="131"/>
      <c r="AK34" s="131"/>
      <c r="AL34" s="131"/>
      <c r="AM34" s="131"/>
      <c r="AN34" s="131">
        <v>1</v>
      </c>
      <c r="AO34" s="131"/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31"/>
      <c r="BC34" s="131"/>
      <c r="BD34" s="131"/>
      <c r="BE34" s="131"/>
      <c r="BF34" s="131"/>
      <c r="BG34" s="133"/>
      <c r="BH34" s="131">
        <v>1</v>
      </c>
      <c r="BI34" s="131"/>
      <c r="BJ34" s="131"/>
      <c r="BK34" s="131"/>
      <c r="BL34" s="131"/>
      <c r="BM34" s="131"/>
      <c r="BN34" s="131">
        <v>1</v>
      </c>
      <c r="BO34" s="131"/>
      <c r="BP34" s="131"/>
    </row>
    <row r="35" spans="1:74" s="44" customFormat="1" ht="30" customHeight="1" x14ac:dyDescent="0.25">
      <c r="A35" s="32">
        <f>Psychologia!A35</f>
        <v>16</v>
      </c>
      <c r="B35" s="127" t="str">
        <f>IF(Psychologia!B35&gt;0,Psychologia!B35," ")</f>
        <v xml:space="preserve"> </v>
      </c>
      <c r="C35" s="128" t="str">
        <f>IF(Psychologia!C35&gt;0,Psychologia!C35," ")</f>
        <v>2026/2027</v>
      </c>
      <c r="D35" s="128" t="str">
        <f>IF(Psychologia!D35&gt;0,Psychologia!D35," ")</f>
        <v xml:space="preserve"> </v>
      </c>
      <c r="E35" s="127">
        <f>IF(Psychologia!E35&gt;0,Psychologia!E35," ")</f>
        <v>1</v>
      </c>
      <c r="F35" s="32" t="str">
        <f>IF(Psychologia!F35&gt;0,Psychologia!F35," ")</f>
        <v>2026/2027</v>
      </c>
      <c r="G35" s="32" t="str">
        <f>IF(Psychologia!G35&gt;0,Psychologia!G35," ")</f>
        <v>RPS</v>
      </c>
      <c r="H35" s="122" t="str">
        <f>IF(Psychologia!H35&gt;0,Psychologia!H35," ")</f>
        <v xml:space="preserve"> </v>
      </c>
      <c r="I35" s="1085" t="str">
        <f>IF(Psychologia!I35&gt;0,Psychologia!I35," ")</f>
        <v>Trening umiejętności interpersonalnych I</v>
      </c>
      <c r="J35" s="123">
        <f>Psychologia!Y35+Psychologia!AV35</f>
        <v>75</v>
      </c>
      <c r="K35" s="124">
        <f>Psychologia!AS35+Psychologia!BP35</f>
        <v>30</v>
      </c>
      <c r="L35" s="125">
        <f>Psychologia!Z35+Psychologia!AW35</f>
        <v>45</v>
      </c>
      <c r="M35" s="126">
        <f>Psychologia!AB35+Psychologia!AD35+Psychologia!AY35+Psychologia!BA35</f>
        <v>0</v>
      </c>
      <c r="N35" s="220">
        <f>Psychologia!AA35+Psychologia!AX35</f>
        <v>45</v>
      </c>
      <c r="O35" s="232">
        <f>Psychologia!X35+Psychologia!AU35</f>
        <v>3</v>
      </c>
      <c r="P35" s="128" t="str">
        <f>IF(Psychologia!V35&gt;0,Psychologia!V35," ")</f>
        <v>zal/o</v>
      </c>
      <c r="Q35" s="150">
        <f t="shared" si="5"/>
        <v>0</v>
      </c>
      <c r="R35" s="135">
        <f t="shared" si="6"/>
        <v>2</v>
      </c>
      <c r="S35" s="161">
        <f t="shared" si="7"/>
        <v>2</v>
      </c>
      <c r="T35" s="132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3"/>
      <c r="AF35" s="132"/>
      <c r="AG35" s="131"/>
      <c r="AH35" s="131"/>
      <c r="AI35" s="131"/>
      <c r="AJ35" s="131"/>
      <c r="AK35" s="131"/>
      <c r="AL35" s="131"/>
      <c r="AM35" s="131"/>
      <c r="AN35" s="131">
        <v>1</v>
      </c>
      <c r="AO35" s="131"/>
      <c r="AP35" s="131">
        <v>1</v>
      </c>
      <c r="AQ35" s="131"/>
      <c r="AR35" s="131"/>
      <c r="AS35" s="131"/>
      <c r="AT35" s="131"/>
      <c r="AU35" s="131"/>
      <c r="AV35" s="131"/>
      <c r="AW35" s="131"/>
      <c r="AX35" s="131"/>
      <c r="AY35" s="131"/>
      <c r="AZ35" s="131"/>
      <c r="BA35" s="131"/>
      <c r="BB35" s="131"/>
      <c r="BC35" s="131"/>
      <c r="BD35" s="131"/>
      <c r="BE35" s="131"/>
      <c r="BF35" s="131"/>
      <c r="BG35" s="133"/>
      <c r="BH35" s="131"/>
      <c r="BI35" s="131"/>
      <c r="BJ35" s="131"/>
      <c r="BK35" s="131">
        <v>1</v>
      </c>
      <c r="BL35" s="131"/>
      <c r="BM35" s="131"/>
      <c r="BN35" s="131">
        <v>1</v>
      </c>
      <c r="BO35" s="131"/>
      <c r="BP35" s="131"/>
    </row>
    <row r="36" spans="1:74" s="44" customFormat="1" ht="30" customHeight="1" x14ac:dyDescent="0.25">
      <c r="A36" s="32">
        <f>Psychologia!A36</f>
        <v>17</v>
      </c>
      <c r="B36" s="127" t="str">
        <f>IF(Psychologia!B36&gt;0,Psychologia!B36," ")</f>
        <v xml:space="preserve"> </v>
      </c>
      <c r="C36" s="128" t="str">
        <f>IF(Psychologia!C36&gt;0,Psychologia!C36," ")</f>
        <v>2026/2027</v>
      </c>
      <c r="D36" s="128" t="str">
        <f>IF(Psychologia!D36&gt;0,Psychologia!D36," ")</f>
        <v xml:space="preserve"> </v>
      </c>
      <c r="E36" s="127">
        <f>IF(Psychologia!E36&gt;0,Psychologia!E36," ")</f>
        <v>1</v>
      </c>
      <c r="F36" s="32" t="str">
        <f>IF(Psychologia!F36&gt;0,Psychologia!F36," ")</f>
        <v>2026/2027</v>
      </c>
      <c r="G36" s="32" t="str">
        <f>IF(Psychologia!G36&gt;0,Psychologia!G36," ")</f>
        <v>RPS</v>
      </c>
      <c r="H36" s="122" t="str">
        <f>IF(Psychologia!H36&gt;0,Psychologia!H36," ")</f>
        <v xml:space="preserve"> </v>
      </c>
      <c r="I36" s="1085" t="str">
        <f>IF(Psychologia!I36&gt;0,Psychologia!I36," ")</f>
        <v>Trening umiejętności interpersonalnych II</v>
      </c>
      <c r="J36" s="123">
        <f>Psychologia!Y36+Psychologia!AV36</f>
        <v>100</v>
      </c>
      <c r="K36" s="124">
        <f>Psychologia!AS36+Psychologia!BP36</f>
        <v>35</v>
      </c>
      <c r="L36" s="125">
        <f>Psychologia!Z36+Psychologia!AW36</f>
        <v>65</v>
      </c>
      <c r="M36" s="126">
        <f>Psychologia!AB36+Psychologia!AD36+Psychologia!AY36+Psychologia!BA36</f>
        <v>0</v>
      </c>
      <c r="N36" s="220">
        <f>Psychologia!AA36+Psychologia!AX36</f>
        <v>65</v>
      </c>
      <c r="O36" s="232">
        <f>Psychologia!X36+Psychologia!AU36</f>
        <v>4</v>
      </c>
      <c r="P36" s="128" t="str">
        <f>IF(Psychologia!V36&gt;0,Psychologia!V36," ")</f>
        <v>zal/o</v>
      </c>
      <c r="Q36" s="150">
        <f t="shared" ref="Q36" si="8">SUM(T36:AE36)</f>
        <v>0</v>
      </c>
      <c r="R36" s="135">
        <f t="shared" ref="R36" si="9">SUM(AF36:BG36)</f>
        <v>2</v>
      </c>
      <c r="S36" s="161">
        <f t="shared" ref="S36" si="10">SUM(BH36:BP36)</f>
        <v>2</v>
      </c>
      <c r="T36" s="132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3"/>
      <c r="AF36" s="132"/>
      <c r="AG36" s="131"/>
      <c r="AH36" s="131"/>
      <c r="AI36" s="131"/>
      <c r="AJ36" s="131"/>
      <c r="AK36" s="131"/>
      <c r="AL36" s="131"/>
      <c r="AM36" s="131"/>
      <c r="AN36" s="131"/>
      <c r="AO36" s="131"/>
      <c r="AP36" s="131">
        <v>1</v>
      </c>
      <c r="AQ36" s="131"/>
      <c r="AR36" s="131"/>
      <c r="AS36" s="131">
        <v>1</v>
      </c>
      <c r="AT36" s="131"/>
      <c r="AU36" s="131"/>
      <c r="AV36" s="131"/>
      <c r="AW36" s="131"/>
      <c r="AX36" s="131"/>
      <c r="AY36" s="131"/>
      <c r="AZ36" s="131"/>
      <c r="BA36" s="131"/>
      <c r="BB36" s="131"/>
      <c r="BC36" s="131"/>
      <c r="BD36" s="131"/>
      <c r="BE36" s="131"/>
      <c r="BF36" s="131"/>
      <c r="BG36" s="133"/>
      <c r="BH36" s="131"/>
      <c r="BI36" s="131"/>
      <c r="BJ36" s="131"/>
      <c r="BK36" s="131">
        <v>1</v>
      </c>
      <c r="BL36" s="131"/>
      <c r="BM36" s="131"/>
      <c r="BN36" s="131">
        <v>1</v>
      </c>
      <c r="BO36" s="131"/>
      <c r="BP36" s="131"/>
    </row>
    <row r="37" spans="1:74" s="44" customFormat="1" ht="30" customHeight="1" x14ac:dyDescent="0.25">
      <c r="A37" s="32">
        <f>Psychologia!A37</f>
        <v>18</v>
      </c>
      <c r="B37" s="127" t="str">
        <f>IF(Psychologia!B37&gt;0,Psychologia!B37," ")</f>
        <v xml:space="preserve"> </v>
      </c>
      <c r="C37" s="128" t="str">
        <f>IF(Psychologia!C37&gt;0,Psychologia!C37," ")</f>
        <v>2026/2027</v>
      </c>
      <c r="D37" s="128" t="str">
        <f>IF(Psychologia!D37&gt;0,Psychologia!D37," ")</f>
        <v xml:space="preserve"> </v>
      </c>
      <c r="E37" s="127">
        <f>IF(Psychologia!E37&gt;0,Psychologia!E37," ")</f>
        <v>1</v>
      </c>
      <c r="F37" s="32" t="str">
        <f>IF(Psychologia!F37&gt;0,Psychologia!F37," ")</f>
        <v>2026/2027</v>
      </c>
      <c r="G37" s="32" t="str">
        <f>IF(Psychologia!G37&gt;0,Psychologia!G37," ")</f>
        <v>RPS</v>
      </c>
      <c r="H37" s="122" t="str">
        <f>IF(Psychologia!H37&gt;0,Psychologia!H37," ")</f>
        <v xml:space="preserve"> </v>
      </c>
      <c r="I37" s="1085" t="str">
        <f>IF(Psychologia!I37&gt;0,Psychologia!I37," ")</f>
        <v>Wprowadzenie do neuroanatomii</v>
      </c>
      <c r="J37" s="123">
        <f>Psychologia!Y37+Psychologia!AV37</f>
        <v>125</v>
      </c>
      <c r="K37" s="124">
        <f>Psychologia!AS37+Psychologia!BP37</f>
        <v>65</v>
      </c>
      <c r="L37" s="125">
        <f>Psychologia!Z37+Psychologia!AW37</f>
        <v>60</v>
      </c>
      <c r="M37" s="126">
        <f>Psychologia!AB37+Psychologia!AD37+Psychologia!AY37+Psychologia!BA37</f>
        <v>20</v>
      </c>
      <c r="N37" s="220">
        <f>Psychologia!AA37+Psychologia!AX37</f>
        <v>60</v>
      </c>
      <c r="O37" s="232">
        <f>Psychologia!X37+Psychologia!AU37</f>
        <v>5</v>
      </c>
      <c r="P37" s="128" t="str">
        <f>IF(Psychologia!V37&gt;0,Psychologia!V37," ")</f>
        <v>zal/o</v>
      </c>
      <c r="Q37" s="150">
        <f t="shared" si="5"/>
        <v>1</v>
      </c>
      <c r="R37" s="135">
        <f t="shared" si="6"/>
        <v>1</v>
      </c>
      <c r="S37" s="161">
        <f t="shared" si="7"/>
        <v>1</v>
      </c>
      <c r="T37" s="132"/>
      <c r="U37" s="131"/>
      <c r="V37" s="131"/>
      <c r="W37" s="131"/>
      <c r="X37" s="131"/>
      <c r="Y37" s="131"/>
      <c r="Z37" s="131"/>
      <c r="AA37" s="131">
        <v>1</v>
      </c>
      <c r="AB37" s="131"/>
      <c r="AC37" s="131"/>
      <c r="AD37" s="131"/>
      <c r="AE37" s="133"/>
      <c r="AF37" s="132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  <c r="AX37" s="131"/>
      <c r="AY37" s="131"/>
      <c r="AZ37" s="131"/>
      <c r="BA37" s="131">
        <v>1</v>
      </c>
      <c r="BB37" s="131"/>
      <c r="BC37" s="131"/>
      <c r="BD37" s="131"/>
      <c r="BE37" s="131"/>
      <c r="BF37" s="131"/>
      <c r="BG37" s="133"/>
      <c r="BH37" s="131">
        <v>1</v>
      </c>
      <c r="BI37" s="131"/>
      <c r="BJ37" s="131"/>
      <c r="BK37" s="131"/>
      <c r="BL37" s="131"/>
      <c r="BM37" s="131"/>
      <c r="BN37" s="131"/>
      <c r="BO37" s="131"/>
      <c r="BP37" s="131"/>
    </row>
    <row r="38" spans="1:74" s="44" customFormat="1" ht="30" customHeight="1" x14ac:dyDescent="0.25">
      <c r="A38" s="32">
        <f>Psychologia!A38</f>
        <v>19</v>
      </c>
      <c r="B38" s="127" t="str">
        <f>IF(Psychologia!B38&gt;0,Psychologia!B38," ")</f>
        <v xml:space="preserve"> </v>
      </c>
      <c r="C38" s="128" t="str">
        <f>IF(Psychologia!C38&gt;0,Psychologia!C38," ")</f>
        <v>2026/2027</v>
      </c>
      <c r="D38" s="128" t="str">
        <f>IF(Psychologia!D38&gt;0,Psychologia!D38," ")</f>
        <v xml:space="preserve"> </v>
      </c>
      <c r="E38" s="127">
        <f>IF(Psychologia!E38&gt;0,Psychologia!E38," ")</f>
        <v>1</v>
      </c>
      <c r="F38" s="32" t="str">
        <f>IF(Psychologia!F38&gt;0,Psychologia!F38," ")</f>
        <v>2026/2027</v>
      </c>
      <c r="G38" s="32" t="str">
        <f>IF(Psychologia!G38&gt;0,Psychologia!G38," ")</f>
        <v>RPS</v>
      </c>
      <c r="H38" s="122" t="str">
        <f>IF(Psychologia!H38&gt;0,Psychologia!H38," ")</f>
        <v xml:space="preserve"> </v>
      </c>
      <c r="I38" s="1085" t="str">
        <f>IF(Psychologia!I38&gt;0,Psychologia!I38," ")</f>
        <v>Wprowadzenie do psychologii i historii myśli psychologicznej</v>
      </c>
      <c r="J38" s="123">
        <f>Psychologia!Y38+Psychologia!AV38</f>
        <v>100</v>
      </c>
      <c r="K38" s="124">
        <f>Psychologia!AS38+Psychologia!BP38</f>
        <v>60</v>
      </c>
      <c r="L38" s="125">
        <f>Psychologia!Z38+Psychologia!AW38</f>
        <v>40</v>
      </c>
      <c r="M38" s="126">
        <f>Psychologia!AB38+Psychologia!AD38+Psychologia!AY38+Psychologia!BA38</f>
        <v>30</v>
      </c>
      <c r="N38" s="220">
        <f>Psychologia!AA38+Psychologia!AX38</f>
        <v>40</v>
      </c>
      <c r="O38" s="232">
        <f>Psychologia!X38+Psychologia!AU38</f>
        <v>4</v>
      </c>
      <c r="P38" s="128" t="str">
        <f>IF(Psychologia!V38&gt;0,Psychologia!V38," ")</f>
        <v>egz</v>
      </c>
      <c r="Q38" s="150">
        <f t="shared" si="5"/>
        <v>1</v>
      </c>
      <c r="R38" s="135">
        <f t="shared" si="6"/>
        <v>1</v>
      </c>
      <c r="S38" s="161">
        <f t="shared" si="7"/>
        <v>1</v>
      </c>
      <c r="T38" s="132">
        <v>1</v>
      </c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3"/>
      <c r="AF38" s="132"/>
      <c r="AG38" s="131"/>
      <c r="AH38" s="131">
        <v>1</v>
      </c>
      <c r="AI38" s="131"/>
      <c r="AJ38" s="131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  <c r="AV38" s="131"/>
      <c r="AW38" s="131"/>
      <c r="AX38" s="131"/>
      <c r="AY38" s="131"/>
      <c r="AZ38" s="131"/>
      <c r="BA38" s="131"/>
      <c r="BB38" s="131"/>
      <c r="BC38" s="131"/>
      <c r="BD38" s="131"/>
      <c r="BE38" s="131"/>
      <c r="BF38" s="131"/>
      <c r="BG38" s="133"/>
      <c r="BH38" s="131">
        <v>1</v>
      </c>
      <c r="BI38" s="131"/>
      <c r="BJ38" s="131"/>
      <c r="BK38" s="131"/>
      <c r="BL38" s="131"/>
      <c r="BM38" s="131"/>
      <c r="BN38" s="131"/>
      <c r="BO38" s="131"/>
      <c r="BP38" s="131"/>
    </row>
    <row r="39" spans="1:74" s="44" customFormat="1" ht="30" customHeight="1" x14ac:dyDescent="0.25">
      <c r="A39" s="32">
        <f>Psychologia!A39</f>
        <v>20</v>
      </c>
      <c r="B39" s="127" t="str">
        <f>IF(Psychologia!B39&gt;0,Psychologia!B39," ")</f>
        <v xml:space="preserve"> </v>
      </c>
      <c r="C39" s="128" t="str">
        <f>IF(Psychologia!C39&gt;0,Psychologia!C39," ")</f>
        <v>2026/2027</v>
      </c>
      <c r="D39" s="128" t="str">
        <f>IF(Psychologia!D39&gt;0,Psychologia!D39," ")</f>
        <v xml:space="preserve"> </v>
      </c>
      <c r="E39" s="127">
        <f>IF(Psychologia!E39&gt;0,Psychologia!E39," ")</f>
        <v>1</v>
      </c>
      <c r="F39" s="32" t="str">
        <f>IF(Psychologia!F39&gt;0,Psychologia!F39," ")</f>
        <v>2026/2027</v>
      </c>
      <c r="G39" s="32" t="str">
        <f>IF(Psychologia!G39&gt;0,Psychologia!G39," ")</f>
        <v>RPS</v>
      </c>
      <c r="H39" s="122" t="str">
        <f>IF(Psychologia!H39&gt;0,Psychologia!H39," ")</f>
        <v xml:space="preserve"> </v>
      </c>
      <c r="I39" s="1085" t="str">
        <f>IF(Psychologia!I39&gt;0,Psychologia!I39," ")</f>
        <v>Wprowadzenie do psychologii społecznej</v>
      </c>
      <c r="J39" s="123">
        <f>Psychologia!Y39+Psychologia!AV39</f>
        <v>100</v>
      </c>
      <c r="K39" s="124">
        <f>Psychologia!AS39+Psychologia!BP39</f>
        <v>45</v>
      </c>
      <c r="L39" s="125">
        <f>Psychologia!Z39+Psychologia!AW39</f>
        <v>55</v>
      </c>
      <c r="M39" s="126">
        <f>Psychologia!AB39+Psychologia!AD39+Psychologia!AY39+Psychologia!BA39</f>
        <v>30</v>
      </c>
      <c r="N39" s="220">
        <f>Psychologia!AA39+Psychologia!AX39</f>
        <v>55</v>
      </c>
      <c r="O39" s="232">
        <f>Psychologia!X39+Psychologia!AU39</f>
        <v>4</v>
      </c>
      <c r="P39" s="128" t="str">
        <f>IF(Psychologia!V39&gt;0,Psychologia!V39," ")</f>
        <v>egz</v>
      </c>
      <c r="Q39" s="150">
        <f t="shared" si="5"/>
        <v>1</v>
      </c>
      <c r="R39" s="135">
        <f t="shared" si="6"/>
        <v>1</v>
      </c>
      <c r="S39" s="161">
        <f t="shared" si="7"/>
        <v>1</v>
      </c>
      <c r="T39" s="132">
        <v>1</v>
      </c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3"/>
      <c r="AF39" s="132"/>
      <c r="AG39" s="131"/>
      <c r="AH39" s="131"/>
      <c r="AI39" s="131"/>
      <c r="AJ39" s="131"/>
      <c r="AK39" s="131"/>
      <c r="AL39" s="131"/>
      <c r="AM39" s="131"/>
      <c r="AN39" s="131">
        <v>1</v>
      </c>
      <c r="AO39" s="131"/>
      <c r="AP39" s="131"/>
      <c r="AQ39" s="131"/>
      <c r="AR39" s="131"/>
      <c r="AS39" s="131"/>
      <c r="AT39" s="131"/>
      <c r="AU39" s="131"/>
      <c r="AV39" s="131"/>
      <c r="AW39" s="131"/>
      <c r="AX39" s="131"/>
      <c r="AY39" s="131"/>
      <c r="AZ39" s="131"/>
      <c r="BA39" s="131"/>
      <c r="BB39" s="131"/>
      <c r="BC39" s="131"/>
      <c r="BD39" s="131"/>
      <c r="BE39" s="131"/>
      <c r="BF39" s="131"/>
      <c r="BG39" s="133"/>
      <c r="BH39" s="131">
        <v>1</v>
      </c>
      <c r="BI39" s="131"/>
      <c r="BJ39" s="131"/>
      <c r="BK39" s="131"/>
      <c r="BL39" s="131"/>
      <c r="BM39" s="131"/>
      <c r="BN39" s="131"/>
      <c r="BO39" s="131"/>
      <c r="BP39" s="131"/>
    </row>
    <row r="40" spans="1:74" s="44" customFormat="1" ht="30" customHeight="1" x14ac:dyDescent="0.25">
      <c r="A40" s="32">
        <f>Psychologia!A40</f>
        <v>21</v>
      </c>
      <c r="B40" s="127" t="str">
        <f>IF(Psychologia!B40&gt;0,Psychologia!B40," ")</f>
        <v xml:space="preserve"> </v>
      </c>
      <c r="C40" s="128" t="str">
        <f>IF(Psychologia!C40&gt;0,Psychologia!C40," ")</f>
        <v>2026/2027</v>
      </c>
      <c r="D40" s="128" t="str">
        <f>IF(Psychologia!D40&gt;0,Psychologia!D40," ")</f>
        <v xml:space="preserve"> </v>
      </c>
      <c r="E40" s="127">
        <f>IF(Psychologia!E40&gt;0,Psychologia!E40," ")</f>
        <v>1</v>
      </c>
      <c r="F40" s="32" t="str">
        <f>IF(Psychologia!F40&gt;0,Psychologia!F40," ")</f>
        <v>2026/2027</v>
      </c>
      <c r="G40" s="32" t="str">
        <f>IF(Psychologia!G40&gt;0,Psychologia!G40," ")</f>
        <v>RPS</v>
      </c>
      <c r="H40" s="122" t="str">
        <f>IF(Psychologia!H40&gt;0,Psychologia!H40," ")</f>
        <v xml:space="preserve"> </v>
      </c>
      <c r="I40" s="1085" t="str">
        <f>IF(Psychologia!I40&gt;0,Psychologia!I40," ")</f>
        <v>Wychowanie fizyczne I</v>
      </c>
      <c r="J40" s="123">
        <f>Psychologia!Y40+Psychologia!AV40</f>
        <v>30</v>
      </c>
      <c r="K40" s="124">
        <f>Psychologia!AS40+Psychologia!BP40</f>
        <v>0</v>
      </c>
      <c r="L40" s="125">
        <f>Psychologia!Z40+Psychologia!AW40</f>
        <v>30</v>
      </c>
      <c r="M40" s="126">
        <f>Psychologia!AB40+Psychologia!AD40+Psychologia!AY40+Psychologia!BA40</f>
        <v>0</v>
      </c>
      <c r="N40" s="220">
        <f>Psychologia!AA40+Psychologia!AX40</f>
        <v>30</v>
      </c>
      <c r="O40" s="232">
        <f>Psychologia!X40+Psychologia!AU40</f>
        <v>0</v>
      </c>
      <c r="P40" s="128" t="str">
        <f>IF(Psychologia!V40&gt;0,Psychologia!V40," ")</f>
        <v>zal</v>
      </c>
      <c r="Q40" s="150">
        <f t="shared" si="5"/>
        <v>0</v>
      </c>
      <c r="R40" s="135">
        <f t="shared" si="6"/>
        <v>1</v>
      </c>
      <c r="S40" s="161">
        <f t="shared" si="7"/>
        <v>0</v>
      </c>
      <c r="T40" s="132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3"/>
      <c r="AF40" s="132"/>
      <c r="AG40" s="131"/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>
        <v>1</v>
      </c>
      <c r="AW40" s="131"/>
      <c r="AX40" s="131"/>
      <c r="AY40" s="131"/>
      <c r="AZ40" s="131"/>
      <c r="BA40" s="131"/>
      <c r="BB40" s="131"/>
      <c r="BC40" s="131"/>
      <c r="BD40" s="131"/>
      <c r="BE40" s="131"/>
      <c r="BF40" s="131"/>
      <c r="BG40" s="133"/>
      <c r="BH40" s="131"/>
      <c r="BI40" s="131"/>
      <c r="BJ40" s="131"/>
      <c r="BK40" s="131"/>
      <c r="BL40" s="131"/>
      <c r="BM40" s="131"/>
      <c r="BN40" s="131"/>
      <c r="BO40" s="131"/>
      <c r="BP40" s="131"/>
      <c r="BQ40" s="734"/>
    </row>
    <row r="41" spans="1:74" s="44" customFormat="1" ht="30" customHeight="1" thickBot="1" x14ac:dyDescent="0.3">
      <c r="A41" s="32">
        <f>Psychologia!A41</f>
        <v>22</v>
      </c>
      <c r="B41" s="127" t="str">
        <f>IF(Psychologia!B41&gt;0,Psychologia!B41," ")</f>
        <v xml:space="preserve"> </v>
      </c>
      <c r="C41" s="128" t="str">
        <f>IF(Psychologia!C41&gt;0,Psychologia!C41," ")</f>
        <v>2026/2027</v>
      </c>
      <c r="D41" s="128" t="str">
        <f>IF(Psychologia!D41&gt;0,Psychologia!D41," ")</f>
        <v xml:space="preserve"> </v>
      </c>
      <c r="E41" s="127">
        <f>IF(Psychologia!E41&gt;0,Psychologia!E41," ")</f>
        <v>1</v>
      </c>
      <c r="F41" s="32" t="str">
        <f>IF(Psychologia!F41&gt;0,Psychologia!F41," ")</f>
        <v>2026/2027</v>
      </c>
      <c r="G41" s="32" t="str">
        <f>IF(Psychologia!G41&gt;0,Psychologia!G41," ")</f>
        <v>RPS</v>
      </c>
      <c r="H41" s="122" t="str">
        <f>IF(Psychologia!H41&gt;0,Psychologia!H41," ")</f>
        <v xml:space="preserve"> </v>
      </c>
      <c r="I41" s="1085" t="str">
        <f>IF(Psychologia!I41&gt;0,Psychologia!I41," ")</f>
        <v>Wychowanie fizyczne II</v>
      </c>
      <c r="J41" s="123">
        <f>Psychologia!Y41+Psychologia!AV41</f>
        <v>30</v>
      </c>
      <c r="K41" s="124">
        <f>Psychologia!AS41+Psychologia!BP41</f>
        <v>0</v>
      </c>
      <c r="L41" s="125">
        <f>Psychologia!Z41+Psychologia!AW41</f>
        <v>30</v>
      </c>
      <c r="M41" s="126">
        <f>Psychologia!AB41+Psychologia!AD41+Psychologia!AY41+Psychologia!BA41</f>
        <v>0</v>
      </c>
      <c r="N41" s="220">
        <f>Psychologia!AA41+Psychologia!AX41</f>
        <v>30</v>
      </c>
      <c r="O41" s="232">
        <f>Psychologia!X41+Psychologia!AU41</f>
        <v>0</v>
      </c>
      <c r="P41" s="128" t="str">
        <f>IF(Psychologia!V41&gt;0,Psychologia!V41," ")</f>
        <v>zal</v>
      </c>
      <c r="Q41" s="150">
        <f t="shared" si="5"/>
        <v>0</v>
      </c>
      <c r="R41" s="135">
        <f t="shared" si="6"/>
        <v>1</v>
      </c>
      <c r="S41" s="161">
        <f t="shared" si="7"/>
        <v>0</v>
      </c>
      <c r="T41" s="132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3"/>
      <c r="AF41" s="132"/>
      <c r="AG41" s="131"/>
      <c r="AH41" s="131"/>
      <c r="AI41" s="131"/>
      <c r="AJ41" s="131"/>
      <c r="AK41" s="131"/>
      <c r="AL41" s="131"/>
      <c r="AM41" s="131"/>
      <c r="AN41" s="131"/>
      <c r="AO41" s="131"/>
      <c r="AP41" s="131"/>
      <c r="AQ41" s="131"/>
      <c r="AR41" s="131"/>
      <c r="AS41" s="131"/>
      <c r="AT41" s="131"/>
      <c r="AU41" s="131"/>
      <c r="AV41" s="131">
        <v>1</v>
      </c>
      <c r="AW41" s="131"/>
      <c r="AX41" s="131"/>
      <c r="AY41" s="131"/>
      <c r="AZ41" s="131"/>
      <c r="BA41" s="131"/>
      <c r="BB41" s="131"/>
      <c r="BC41" s="131"/>
      <c r="BD41" s="131"/>
      <c r="BE41" s="131"/>
      <c r="BF41" s="131"/>
      <c r="BG41" s="133"/>
      <c r="BH41" s="131"/>
      <c r="BI41" s="131"/>
      <c r="BJ41" s="131"/>
      <c r="BK41" s="131"/>
      <c r="BL41" s="131"/>
      <c r="BM41" s="131"/>
      <c r="BN41" s="131"/>
      <c r="BO41" s="131"/>
      <c r="BP41" s="131"/>
    </row>
    <row r="42" spans="1:74" s="44" customFormat="1" ht="30" customHeight="1" thickBot="1" x14ac:dyDescent="0.3">
      <c r="A42" s="219"/>
      <c r="B42" s="146" t="str">
        <f>IF(Psychologia!B42&gt;0,Psychologia!B42," ")</f>
        <v xml:space="preserve"> </v>
      </c>
      <c r="C42" s="147" t="str">
        <f>IF(Psychologia!C42&gt;0,Psychologia!C42," ")</f>
        <v xml:space="preserve"> </v>
      </c>
      <c r="D42" s="147" t="str">
        <f>IF(Psychologia!D42&gt;0,Psychologia!D42," ")</f>
        <v xml:space="preserve"> </v>
      </c>
      <c r="E42" s="147" t="str">
        <f>IF(Psychologia!E42&gt;0,Psychologia!E42," ")</f>
        <v xml:space="preserve"> </v>
      </c>
      <c r="F42" s="147" t="str">
        <f>IF(Psychologia!F42&gt;0,Psychologia!F42," ")</f>
        <v xml:space="preserve"> </v>
      </c>
      <c r="G42" s="147" t="str">
        <f>IF(Psychologia!G42&gt;0,Psychologia!G42," ")</f>
        <v xml:space="preserve"> </v>
      </c>
      <c r="H42" s="147" t="str">
        <f>IF(Psychologia!H42&gt;0,Psychologia!H42," ")</f>
        <v xml:space="preserve"> </v>
      </c>
      <c r="I42" s="147" t="str">
        <f>IF(Psychologia!I42&gt;0,Psychologia!I42," ")</f>
        <v>sumy dla 1 roku</v>
      </c>
      <c r="J42" s="147">
        <f>Psychologia!Y42+Psychologia!AV42</f>
        <v>1593</v>
      </c>
      <c r="K42" s="147">
        <f>Psychologia!AS42+Psychologia!BP42</f>
        <v>730</v>
      </c>
      <c r="L42" s="147">
        <f>Psychologia!Z42+Psychologia!AW42</f>
        <v>863</v>
      </c>
      <c r="M42" s="147">
        <f>Psychologia!AB42+Psychologia!AD42+Psychologia!AY42+Psychologia!BA42</f>
        <v>275</v>
      </c>
      <c r="N42" s="147">
        <f>Psychologia!AA42+Psychologia!AX42</f>
        <v>863</v>
      </c>
      <c r="O42" s="148">
        <f>Psychologia!X42+Psychologia!AU42</f>
        <v>60</v>
      </c>
      <c r="P42" s="147" t="str">
        <f>IF(Psychologia!V42&gt;0,Psychologia!V42," ")</f>
        <v xml:space="preserve"> </v>
      </c>
      <c r="Q42" s="151">
        <f t="shared" ref="Q42:AV42" si="11">SUM(Q20:Q41)</f>
        <v>17</v>
      </c>
      <c r="R42" s="151">
        <f t="shared" si="11"/>
        <v>25</v>
      </c>
      <c r="S42" s="1077">
        <f t="shared" si="11"/>
        <v>22</v>
      </c>
      <c r="T42" s="1069">
        <f t="shared" si="11"/>
        <v>5</v>
      </c>
      <c r="U42" s="1042">
        <f t="shared" si="11"/>
        <v>0</v>
      </c>
      <c r="V42" s="1042">
        <f t="shared" si="11"/>
        <v>0</v>
      </c>
      <c r="W42" s="1042">
        <f t="shared" si="11"/>
        <v>1</v>
      </c>
      <c r="X42" s="1042">
        <f t="shared" si="11"/>
        <v>0</v>
      </c>
      <c r="Y42" s="1042">
        <f t="shared" si="11"/>
        <v>3</v>
      </c>
      <c r="Z42" s="1042">
        <f t="shared" si="11"/>
        <v>2</v>
      </c>
      <c r="AA42" s="1042">
        <f t="shared" si="11"/>
        <v>5</v>
      </c>
      <c r="AB42" s="1042">
        <f t="shared" si="11"/>
        <v>0</v>
      </c>
      <c r="AC42" s="1042">
        <f t="shared" si="11"/>
        <v>0</v>
      </c>
      <c r="AD42" s="1042">
        <f t="shared" si="11"/>
        <v>1</v>
      </c>
      <c r="AE42" s="1070">
        <f t="shared" si="11"/>
        <v>0</v>
      </c>
      <c r="AF42" s="1069">
        <f t="shared" si="11"/>
        <v>0</v>
      </c>
      <c r="AG42" s="1042">
        <f t="shared" si="11"/>
        <v>0</v>
      </c>
      <c r="AH42" s="1042">
        <f t="shared" si="11"/>
        <v>3</v>
      </c>
      <c r="AI42" s="1042">
        <f t="shared" si="11"/>
        <v>0</v>
      </c>
      <c r="AJ42" s="1042">
        <f t="shared" si="11"/>
        <v>0</v>
      </c>
      <c r="AK42" s="1042">
        <f t="shared" si="11"/>
        <v>0</v>
      </c>
      <c r="AL42" s="1042">
        <f t="shared" si="11"/>
        <v>0</v>
      </c>
      <c r="AM42" s="1042">
        <f t="shared" si="11"/>
        <v>0</v>
      </c>
      <c r="AN42" s="1042">
        <f t="shared" si="11"/>
        <v>3</v>
      </c>
      <c r="AO42" s="1042">
        <f t="shared" si="11"/>
        <v>0</v>
      </c>
      <c r="AP42" s="1042">
        <f t="shared" si="11"/>
        <v>2</v>
      </c>
      <c r="AQ42" s="1042">
        <f t="shared" si="11"/>
        <v>2</v>
      </c>
      <c r="AR42" s="1042">
        <f t="shared" si="11"/>
        <v>1</v>
      </c>
      <c r="AS42" s="1042">
        <f t="shared" si="11"/>
        <v>1</v>
      </c>
      <c r="AT42" s="1042">
        <f t="shared" si="11"/>
        <v>0</v>
      </c>
      <c r="AU42" s="1042">
        <f t="shared" si="11"/>
        <v>0</v>
      </c>
      <c r="AV42" s="1042">
        <f t="shared" si="11"/>
        <v>3</v>
      </c>
      <c r="AW42" s="1042">
        <f t="shared" ref="AW42:BP42" si="12">SUM(AW20:AW41)</f>
        <v>1</v>
      </c>
      <c r="AX42" s="1042">
        <f t="shared" si="12"/>
        <v>0</v>
      </c>
      <c r="AY42" s="1042">
        <f t="shared" si="12"/>
        <v>0</v>
      </c>
      <c r="AZ42" s="1042">
        <f t="shared" si="12"/>
        <v>1</v>
      </c>
      <c r="BA42" s="1042">
        <f t="shared" si="12"/>
        <v>5</v>
      </c>
      <c r="BB42" s="1042">
        <f t="shared" si="12"/>
        <v>0</v>
      </c>
      <c r="BC42" s="1042">
        <f t="shared" si="12"/>
        <v>1</v>
      </c>
      <c r="BD42" s="1042">
        <f t="shared" si="12"/>
        <v>1</v>
      </c>
      <c r="BE42" s="1042">
        <f t="shared" si="12"/>
        <v>0</v>
      </c>
      <c r="BF42" s="1042">
        <f t="shared" si="12"/>
        <v>1</v>
      </c>
      <c r="BG42" s="1070">
        <f t="shared" si="12"/>
        <v>0</v>
      </c>
      <c r="BH42" s="1042">
        <f t="shared" si="12"/>
        <v>15</v>
      </c>
      <c r="BI42" s="1042">
        <f t="shared" si="12"/>
        <v>0</v>
      </c>
      <c r="BJ42" s="1042">
        <f t="shared" si="12"/>
        <v>0</v>
      </c>
      <c r="BK42" s="1042">
        <f t="shared" si="12"/>
        <v>2</v>
      </c>
      <c r="BL42" s="1042">
        <f t="shared" si="12"/>
        <v>1</v>
      </c>
      <c r="BM42" s="1042">
        <f t="shared" si="12"/>
        <v>0</v>
      </c>
      <c r="BN42" s="1042">
        <f t="shared" si="12"/>
        <v>3</v>
      </c>
      <c r="BO42" s="1042">
        <f t="shared" si="12"/>
        <v>0</v>
      </c>
      <c r="BP42" s="1042">
        <f t="shared" si="12"/>
        <v>1</v>
      </c>
      <c r="BR42" s="179"/>
      <c r="BS42" s="179"/>
      <c r="BT42" s="179"/>
      <c r="BU42" s="179"/>
      <c r="BV42" s="180"/>
    </row>
    <row r="43" spans="1:74" s="44" customFormat="1" ht="30" customHeight="1" x14ac:dyDescent="0.25">
      <c r="A43" s="32">
        <f>Psychologia!A43</f>
        <v>23</v>
      </c>
      <c r="B43" s="127" t="str">
        <f>IF(Psychologia!B43&gt;0,Psychologia!B43," ")</f>
        <v xml:space="preserve"> </v>
      </c>
      <c r="C43" s="128" t="str">
        <f>IF(Psychologia!C43&gt;0,Psychologia!C43," ")</f>
        <v>2026/2027</v>
      </c>
      <c r="D43" s="128" t="str">
        <f>IF(Psychologia!D43&gt;0,Psychologia!D43," ")</f>
        <v xml:space="preserve"> </v>
      </c>
      <c r="E43" s="127">
        <f>IF(Psychologia!E43&gt;0,Psychologia!E43," ")</f>
        <v>2</v>
      </c>
      <c r="F43" s="32" t="str">
        <f>IF(Psychologia!F43&gt;0,Psychologia!F43," ")</f>
        <v>2027/2028</v>
      </c>
      <c r="G43" s="32" t="str">
        <f>IF(Psychologia!G43&gt;0,Psychologia!G43," ")</f>
        <v>RPS</v>
      </c>
      <c r="H43" s="122" t="str">
        <f>IF(Psychologia!H43&gt;0,Psychologia!H43," ")</f>
        <v xml:space="preserve"> </v>
      </c>
      <c r="I43" s="122" t="str">
        <f>IF(Psychologia!I43&gt;0,Psychologia!I43," ")</f>
        <v>Etyka zawodu psychologa</v>
      </c>
      <c r="J43" s="123">
        <f>Psychologia!Y43+Psychologia!AV43</f>
        <v>100</v>
      </c>
      <c r="K43" s="124">
        <f>Psychologia!AS43+Psychologia!BP43</f>
        <v>60</v>
      </c>
      <c r="L43" s="125">
        <f>Psychologia!Z43+Psychologia!AW43</f>
        <v>40</v>
      </c>
      <c r="M43" s="126">
        <f>Psychologia!AB43+Psychologia!AD43+Psychologia!AY43+Psychologia!BA43</f>
        <v>5</v>
      </c>
      <c r="N43" s="220">
        <f>Psychologia!AA43+Psychologia!AX43</f>
        <v>40</v>
      </c>
      <c r="O43" s="232">
        <f>Psychologia!X43+Psychologia!AU43</f>
        <v>4</v>
      </c>
      <c r="P43" s="128" t="str">
        <f>IF(Psychologia!V43&gt;0,Psychologia!V43," ")</f>
        <v>egz</v>
      </c>
      <c r="Q43" s="150">
        <f t="shared" ref="Q43:Q60" si="13">SUM(T43:AE43)</f>
        <v>1</v>
      </c>
      <c r="R43" s="135">
        <f t="shared" ref="R43:R52" si="14">SUM(AF43:BG43)</f>
        <v>2</v>
      </c>
      <c r="S43" s="161">
        <f t="shared" ref="S43:S60" si="15">SUM(BH43:BP43)</f>
        <v>2</v>
      </c>
      <c r="T43" s="132"/>
      <c r="U43" s="131"/>
      <c r="V43" s="131"/>
      <c r="W43" s="131"/>
      <c r="X43" s="131"/>
      <c r="Y43" s="131"/>
      <c r="Z43" s="131"/>
      <c r="AA43" s="131"/>
      <c r="AB43" s="131"/>
      <c r="AC43" s="131"/>
      <c r="AD43" s="131">
        <v>1</v>
      </c>
      <c r="AE43" s="133"/>
      <c r="AF43" s="132"/>
      <c r="AG43" s="131"/>
      <c r="AH43" s="131"/>
      <c r="AI43" s="131"/>
      <c r="AJ43" s="131"/>
      <c r="AK43" s="131"/>
      <c r="AL43" s="131"/>
      <c r="AM43" s="131"/>
      <c r="AN43" s="131"/>
      <c r="AO43" s="131"/>
      <c r="AP43" s="131"/>
      <c r="AQ43" s="131"/>
      <c r="AR43" s="131">
        <v>1</v>
      </c>
      <c r="AS43" s="131"/>
      <c r="AT43" s="131">
        <v>1</v>
      </c>
      <c r="AU43" s="131"/>
      <c r="AV43" s="131"/>
      <c r="AW43" s="131"/>
      <c r="AX43" s="131"/>
      <c r="AY43" s="131"/>
      <c r="AZ43" s="131"/>
      <c r="BA43" s="131"/>
      <c r="BB43" s="131"/>
      <c r="BC43" s="131"/>
      <c r="BD43" s="131"/>
      <c r="BE43" s="131"/>
      <c r="BF43" s="131"/>
      <c r="BG43" s="133"/>
      <c r="BH43" s="131"/>
      <c r="BI43" s="131"/>
      <c r="BJ43" s="131">
        <v>1</v>
      </c>
      <c r="BK43" s="131"/>
      <c r="BL43" s="131"/>
      <c r="BM43" s="131">
        <v>1</v>
      </c>
      <c r="BN43" s="131"/>
      <c r="BO43" s="131"/>
      <c r="BP43" s="131"/>
    </row>
    <row r="44" spans="1:74" s="44" customFormat="1" ht="30" customHeight="1" x14ac:dyDescent="0.25">
      <c r="A44" s="32">
        <f>Psychologia!A44</f>
        <v>24</v>
      </c>
      <c r="B44" s="127" t="str">
        <f>IF(Psychologia!B44&gt;0,Psychologia!B44," ")</f>
        <v xml:space="preserve"> </v>
      </c>
      <c r="C44" s="128" t="str">
        <f>IF(Psychologia!C44&gt;0,Psychologia!C44," ")</f>
        <v>2026/2027</v>
      </c>
      <c r="D44" s="128" t="str">
        <f>IF(Psychologia!D44&gt;0,Psychologia!D44," ")</f>
        <v xml:space="preserve"> </v>
      </c>
      <c r="E44" s="127">
        <f>IF(Psychologia!E44&gt;0,Psychologia!E44," ")</f>
        <v>2</v>
      </c>
      <c r="F44" s="32" t="str">
        <f>IF(Psychologia!F44&gt;0,Psychologia!F44," ")</f>
        <v>2027/2028</v>
      </c>
      <c r="G44" s="32" t="str">
        <f>IF(Psychologia!G44&gt;0,Psychologia!G44," ")</f>
        <v>RPS</v>
      </c>
      <c r="H44" s="122" t="str">
        <f>IF(Psychologia!H44&gt;0,Psychologia!H44," ")</f>
        <v xml:space="preserve"> </v>
      </c>
      <c r="I44" s="122" t="str">
        <f>IF(Psychologia!I44&gt;0,Psychologia!I44," ")</f>
        <v>Lektorat z języka angielskiego III</v>
      </c>
      <c r="J44" s="123">
        <f>Psychologia!Y44+Psychologia!AV44</f>
        <v>50</v>
      </c>
      <c r="K44" s="124">
        <f>Psychologia!AS44+Psychologia!BP44</f>
        <v>20</v>
      </c>
      <c r="L44" s="125">
        <f>Psychologia!Z44+Psychologia!AW44</f>
        <v>30</v>
      </c>
      <c r="M44" s="126">
        <f>Psychologia!AB44+Psychologia!AD44+Psychologia!AY44+Psychologia!BA44</f>
        <v>0</v>
      </c>
      <c r="N44" s="220">
        <f>Psychologia!AA44+Psychologia!AX44</f>
        <v>30</v>
      </c>
      <c r="O44" s="232">
        <f>Psychologia!X44+Psychologia!AU44</f>
        <v>2</v>
      </c>
      <c r="P44" s="128" t="str">
        <f>IF(Psychologia!V44&gt;0,Psychologia!V44," ")</f>
        <v>zal/o</v>
      </c>
      <c r="Q44" s="150">
        <f t="shared" si="13"/>
        <v>0</v>
      </c>
      <c r="R44" s="135">
        <f t="shared" si="14"/>
        <v>1</v>
      </c>
      <c r="S44" s="161">
        <f t="shared" si="15"/>
        <v>1</v>
      </c>
      <c r="T44" s="132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3"/>
      <c r="AF44" s="132"/>
      <c r="AG44" s="131"/>
      <c r="AH44" s="131"/>
      <c r="AI44" s="131"/>
      <c r="AJ44" s="131"/>
      <c r="AK44" s="131"/>
      <c r="AL44" s="131"/>
      <c r="AM44" s="131"/>
      <c r="AN44" s="131"/>
      <c r="AO44" s="131"/>
      <c r="AP44" s="131"/>
      <c r="AQ44" s="131">
        <v>1</v>
      </c>
      <c r="AR44" s="131"/>
      <c r="AS44" s="131"/>
      <c r="AT44" s="131"/>
      <c r="AU44" s="131"/>
      <c r="AV44" s="131"/>
      <c r="AW44" s="131"/>
      <c r="AX44" s="131"/>
      <c r="AY44" s="131"/>
      <c r="AZ44" s="131"/>
      <c r="BA44" s="131"/>
      <c r="BB44" s="131"/>
      <c r="BC44" s="131"/>
      <c r="BD44" s="131"/>
      <c r="BE44" s="131"/>
      <c r="BF44" s="131"/>
      <c r="BG44" s="133"/>
      <c r="BH44" s="131">
        <v>1</v>
      </c>
      <c r="BI44" s="131"/>
      <c r="BJ44" s="131"/>
      <c r="BK44" s="131"/>
      <c r="BL44" s="131"/>
      <c r="BM44" s="131"/>
      <c r="BN44" s="131"/>
      <c r="BO44" s="131"/>
      <c r="BP44" s="131"/>
    </row>
    <row r="45" spans="1:74" s="44" customFormat="1" ht="30" customHeight="1" x14ac:dyDescent="0.25">
      <c r="A45" s="32">
        <f>Psychologia!A45</f>
        <v>25</v>
      </c>
      <c r="B45" s="127" t="str">
        <f>IF(Psychologia!B45&gt;0,Psychologia!B45," ")</f>
        <v xml:space="preserve"> </v>
      </c>
      <c r="C45" s="128" t="str">
        <f>IF(Psychologia!C45&gt;0,Psychologia!C45," ")</f>
        <v>2026/2027</v>
      </c>
      <c r="D45" s="128" t="str">
        <f>IF(Psychologia!D45&gt;0,Psychologia!D45," ")</f>
        <v xml:space="preserve"> </v>
      </c>
      <c r="E45" s="127">
        <f>IF(Psychologia!E45&gt;0,Psychologia!E45," ")</f>
        <v>2</v>
      </c>
      <c r="F45" s="32" t="str">
        <f>IF(Psychologia!F45&gt;0,Psychologia!F45," ")</f>
        <v>2027/2028</v>
      </c>
      <c r="G45" s="32" t="str">
        <f>IF(Psychologia!G45&gt;0,Psychologia!G45," ")</f>
        <v>RPS</v>
      </c>
      <c r="H45" s="122" t="str">
        <f>IF(Psychologia!H45&gt;0,Psychologia!H45," ")</f>
        <v xml:space="preserve"> </v>
      </c>
      <c r="I45" s="122" t="str">
        <f>IF(Psychologia!I45&gt;0,Psychologia!I45," ")</f>
        <v>Lektorat z języka angielskiego IV</v>
      </c>
      <c r="J45" s="123">
        <f>Psychologia!Y45+Psychologia!AV45</f>
        <v>75</v>
      </c>
      <c r="K45" s="124">
        <f>Psychologia!AS45+Psychologia!BP45</f>
        <v>45</v>
      </c>
      <c r="L45" s="125">
        <f>Psychologia!Z45+Psychologia!AW45</f>
        <v>30</v>
      </c>
      <c r="M45" s="126">
        <f>Psychologia!AB45+Psychologia!AD45+Psychologia!AY45+Psychologia!BA45</f>
        <v>0</v>
      </c>
      <c r="N45" s="220">
        <f>Psychologia!AA45+Psychologia!AX45</f>
        <v>30</v>
      </c>
      <c r="O45" s="232">
        <f>Psychologia!X45+Psychologia!AU45</f>
        <v>3</v>
      </c>
      <c r="P45" s="128" t="str">
        <f>IF(Psychologia!V45&gt;0,Psychologia!V45," ")</f>
        <v>egz</v>
      </c>
      <c r="Q45" s="150">
        <f t="shared" si="13"/>
        <v>0</v>
      </c>
      <c r="R45" s="135">
        <f t="shared" ref="R45" si="16">SUM(AF45:BG45)</f>
        <v>1</v>
      </c>
      <c r="S45" s="161">
        <f t="shared" si="15"/>
        <v>1</v>
      </c>
      <c r="T45" s="132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3"/>
      <c r="AF45" s="132"/>
      <c r="AG45" s="131"/>
      <c r="AH45" s="131"/>
      <c r="AI45" s="131"/>
      <c r="AJ45" s="131"/>
      <c r="AK45" s="131"/>
      <c r="AL45" s="131"/>
      <c r="AM45" s="131"/>
      <c r="AN45" s="131"/>
      <c r="AO45" s="131"/>
      <c r="AP45" s="131"/>
      <c r="AQ45" s="131">
        <v>1</v>
      </c>
      <c r="AR45" s="131"/>
      <c r="AS45" s="131"/>
      <c r="AT45" s="131"/>
      <c r="AU45" s="131"/>
      <c r="AV45" s="131"/>
      <c r="AW45" s="131"/>
      <c r="AX45" s="131"/>
      <c r="AY45" s="131"/>
      <c r="AZ45" s="131"/>
      <c r="BA45" s="131"/>
      <c r="BB45" s="131"/>
      <c r="BC45" s="131"/>
      <c r="BD45" s="131"/>
      <c r="BE45" s="131"/>
      <c r="BF45" s="131"/>
      <c r="BG45" s="133"/>
      <c r="BH45" s="131">
        <v>1</v>
      </c>
      <c r="BI45" s="131"/>
      <c r="BJ45" s="131"/>
      <c r="BK45" s="131"/>
      <c r="BL45" s="131"/>
      <c r="BM45" s="131"/>
      <c r="BN45" s="131"/>
      <c r="BO45" s="131"/>
      <c r="BP45" s="131"/>
    </row>
    <row r="46" spans="1:74" s="44" customFormat="1" ht="30" customHeight="1" x14ac:dyDescent="0.25">
      <c r="A46" s="32">
        <f>Psychologia!A46</f>
        <v>26</v>
      </c>
      <c r="B46" s="127" t="str">
        <f>IF(Psychologia!B46&gt;0,Psychologia!B46," ")</f>
        <v xml:space="preserve"> </v>
      </c>
      <c r="C46" s="128" t="str">
        <f>IF(Psychologia!C46&gt;0,Psychologia!C46," ")</f>
        <v>2026/2027</v>
      </c>
      <c r="D46" s="128" t="str">
        <f>IF(Psychologia!D46&gt;0,Psychologia!D46," ")</f>
        <v xml:space="preserve"> </v>
      </c>
      <c r="E46" s="127">
        <f>IF(Psychologia!E46&gt;0,Psychologia!E46," ")</f>
        <v>2</v>
      </c>
      <c r="F46" s="32" t="str">
        <f>IF(Psychologia!F46&gt;0,Psychologia!F46," ")</f>
        <v>2027/2028</v>
      </c>
      <c r="G46" s="32" t="str">
        <f>IF(Psychologia!G46&gt;0,Psychologia!G46," ")</f>
        <v>RPS</v>
      </c>
      <c r="H46" s="122" t="str">
        <f>IF(Psychologia!H46&gt;0,Psychologia!H46," ")</f>
        <v xml:space="preserve"> </v>
      </c>
      <c r="I46" s="122" t="str">
        <f>IF(Psychologia!I46&gt;0,Psychologia!I46," ")</f>
        <v>Metodologia badań psychologicznych I</v>
      </c>
      <c r="J46" s="123">
        <f>Psychologia!Y46+Psychologia!AV46</f>
        <v>100</v>
      </c>
      <c r="K46" s="124">
        <f>Psychologia!AS46+Psychologia!BP46</f>
        <v>40</v>
      </c>
      <c r="L46" s="125">
        <f>Psychologia!Z46+Psychologia!AW46</f>
        <v>60</v>
      </c>
      <c r="M46" s="126">
        <f>Psychologia!AB46+Psychologia!AD46+Psychologia!AY46+Psychologia!BA46</f>
        <v>30</v>
      </c>
      <c r="N46" s="220">
        <f>Psychologia!AA46+Psychologia!AX46</f>
        <v>60</v>
      </c>
      <c r="O46" s="232">
        <f>Psychologia!X46+Psychologia!AU46</f>
        <v>4</v>
      </c>
      <c r="P46" s="128" t="str">
        <f>IF(Psychologia!V46&gt;0,Psychologia!V46," ")</f>
        <v>egz</v>
      </c>
      <c r="Q46" s="150">
        <f t="shared" si="13"/>
        <v>3</v>
      </c>
      <c r="R46" s="135">
        <f t="shared" si="14"/>
        <v>1</v>
      </c>
      <c r="S46" s="161">
        <f t="shared" si="15"/>
        <v>1</v>
      </c>
      <c r="T46" s="132"/>
      <c r="U46" s="131">
        <v>1</v>
      </c>
      <c r="V46" s="131"/>
      <c r="W46" s="131">
        <v>1</v>
      </c>
      <c r="X46" s="131"/>
      <c r="Y46" s="131"/>
      <c r="Z46" s="131">
        <v>1</v>
      </c>
      <c r="AA46" s="131"/>
      <c r="AB46" s="131"/>
      <c r="AC46" s="131"/>
      <c r="AD46" s="131"/>
      <c r="AE46" s="133"/>
      <c r="AF46" s="132"/>
      <c r="AG46" s="131"/>
      <c r="AH46" s="131"/>
      <c r="AI46" s="131"/>
      <c r="AJ46" s="131"/>
      <c r="AK46" s="131"/>
      <c r="AL46" s="131"/>
      <c r="AM46" s="131">
        <v>1</v>
      </c>
      <c r="AN46" s="131"/>
      <c r="AO46" s="131"/>
      <c r="AP46" s="131"/>
      <c r="AQ46" s="131"/>
      <c r="AR46" s="131"/>
      <c r="AS46" s="131"/>
      <c r="AT46" s="131"/>
      <c r="AU46" s="131"/>
      <c r="AV46" s="131"/>
      <c r="AW46" s="131"/>
      <c r="AX46" s="131"/>
      <c r="AY46" s="131"/>
      <c r="AZ46" s="131"/>
      <c r="BA46" s="131"/>
      <c r="BB46" s="131"/>
      <c r="BC46" s="131"/>
      <c r="BD46" s="131"/>
      <c r="BE46" s="131"/>
      <c r="BF46" s="131"/>
      <c r="BG46" s="133"/>
      <c r="BH46" s="131">
        <v>1</v>
      </c>
      <c r="BI46" s="131"/>
      <c r="BJ46" s="131"/>
      <c r="BK46" s="131"/>
      <c r="BL46" s="131"/>
      <c r="BM46" s="131"/>
      <c r="BN46" s="131"/>
      <c r="BO46" s="131"/>
      <c r="BP46" s="131"/>
    </row>
    <row r="47" spans="1:74" s="44" customFormat="1" ht="30" customHeight="1" x14ac:dyDescent="0.25">
      <c r="A47" s="32">
        <f>Psychologia!A47</f>
        <v>27</v>
      </c>
      <c r="B47" s="127" t="str">
        <f>IF(Psychologia!B47&gt;0,Psychologia!B47," ")</f>
        <v xml:space="preserve"> </v>
      </c>
      <c r="C47" s="128" t="str">
        <f>IF(Psychologia!C47&gt;0,Psychologia!C47," ")</f>
        <v>2026/2027</v>
      </c>
      <c r="D47" s="128" t="str">
        <f>IF(Psychologia!D47&gt;0,Psychologia!D47," ")</f>
        <v xml:space="preserve"> </v>
      </c>
      <c r="E47" s="127">
        <f>IF(Psychologia!E47&gt;0,Psychologia!E47," ")</f>
        <v>2</v>
      </c>
      <c r="F47" s="32" t="str">
        <f>IF(Psychologia!F47&gt;0,Psychologia!F47," ")</f>
        <v>2027/2028</v>
      </c>
      <c r="G47" s="32" t="str">
        <f>IF(Psychologia!G47&gt;0,Psychologia!G47," ")</f>
        <v>RPS</v>
      </c>
      <c r="H47" s="122" t="str">
        <f>IF(Psychologia!H47&gt;0,Psychologia!H47," ")</f>
        <v xml:space="preserve"> </v>
      </c>
      <c r="I47" s="122" t="str">
        <f>IF(Psychologia!I47&gt;0,Psychologia!I47," ")</f>
        <v>Ochrona własności intelektualnej</v>
      </c>
      <c r="J47" s="123">
        <f>Psychologia!Y47+Psychologia!AV47</f>
        <v>25</v>
      </c>
      <c r="K47" s="124">
        <f>Psychologia!AS47+Psychologia!BP47</f>
        <v>10</v>
      </c>
      <c r="L47" s="125">
        <f>Psychologia!Z47+Psychologia!AW47</f>
        <v>15</v>
      </c>
      <c r="M47" s="126">
        <f>Psychologia!AB47+Psychologia!AD47+Psychologia!AY47+Psychologia!BA47</f>
        <v>5</v>
      </c>
      <c r="N47" s="220">
        <f>Psychologia!AA47+Psychologia!AX47</f>
        <v>15</v>
      </c>
      <c r="O47" s="232">
        <f>Psychologia!X47+Psychologia!AU47</f>
        <v>1</v>
      </c>
      <c r="P47" s="128" t="str">
        <f>IF(Psychologia!V47&gt;0,Psychologia!V47," ")</f>
        <v>zal/o</v>
      </c>
      <c r="Q47" s="150">
        <f t="shared" si="13"/>
        <v>1</v>
      </c>
      <c r="R47" s="135">
        <f t="shared" si="14"/>
        <v>2</v>
      </c>
      <c r="S47" s="161">
        <f t="shared" si="15"/>
        <v>1</v>
      </c>
      <c r="T47" s="132"/>
      <c r="U47" s="131"/>
      <c r="V47" s="131"/>
      <c r="W47" s="131"/>
      <c r="X47" s="131"/>
      <c r="Y47" s="131"/>
      <c r="Z47" s="131"/>
      <c r="AA47" s="131"/>
      <c r="AB47" s="131"/>
      <c r="AC47" s="131"/>
      <c r="AD47" s="131">
        <v>1</v>
      </c>
      <c r="AE47" s="133"/>
      <c r="AF47" s="132"/>
      <c r="AG47" s="131"/>
      <c r="AH47" s="131"/>
      <c r="AI47" s="131"/>
      <c r="AJ47" s="131"/>
      <c r="AK47" s="131"/>
      <c r="AL47" s="131"/>
      <c r="AM47" s="131"/>
      <c r="AN47" s="131"/>
      <c r="AO47" s="131"/>
      <c r="AP47" s="131"/>
      <c r="AQ47" s="131"/>
      <c r="AR47" s="131">
        <v>1</v>
      </c>
      <c r="AS47" s="131"/>
      <c r="AT47" s="131">
        <v>1</v>
      </c>
      <c r="AU47" s="131"/>
      <c r="AV47" s="131"/>
      <c r="AW47" s="131"/>
      <c r="AX47" s="131"/>
      <c r="AY47" s="131"/>
      <c r="AZ47" s="131"/>
      <c r="BA47" s="131"/>
      <c r="BB47" s="131"/>
      <c r="BC47" s="131"/>
      <c r="BD47" s="131"/>
      <c r="BE47" s="131"/>
      <c r="BF47" s="131"/>
      <c r="BG47" s="133"/>
      <c r="BH47" s="131"/>
      <c r="BI47" s="131"/>
      <c r="BJ47" s="131">
        <v>1</v>
      </c>
      <c r="BK47" s="131"/>
      <c r="BL47" s="131"/>
      <c r="BM47" s="131"/>
      <c r="BN47" s="131"/>
      <c r="BO47" s="131"/>
      <c r="BP47" s="131"/>
    </row>
    <row r="48" spans="1:74" s="44" customFormat="1" ht="30" customHeight="1" x14ac:dyDescent="0.25">
      <c r="A48" s="32">
        <f>Psychologia!A48</f>
        <v>28</v>
      </c>
      <c r="B48" s="127" t="str">
        <f>IF(Psychologia!B48&gt;0,Psychologia!B48," ")</f>
        <v xml:space="preserve"> </v>
      </c>
      <c r="C48" s="128" t="str">
        <f>IF(Psychologia!C48&gt;0,Psychologia!C48," ")</f>
        <v>2026/2027</v>
      </c>
      <c r="D48" s="128" t="str">
        <f>IF(Psychologia!D48&gt;0,Psychologia!D48," ")</f>
        <v xml:space="preserve"> </v>
      </c>
      <c r="E48" s="127">
        <f>IF(Psychologia!E48&gt;0,Psychologia!E48," ")</f>
        <v>2</v>
      </c>
      <c r="F48" s="32" t="str">
        <f>IF(Psychologia!F48&gt;0,Psychologia!F48," ")</f>
        <v>2027/2028</v>
      </c>
      <c r="G48" s="32" t="str">
        <f>IF(Psychologia!G48&gt;0,Psychologia!G48," ")</f>
        <v>RPS</v>
      </c>
      <c r="H48" s="122" t="str">
        <f>IF(Psychologia!H48&gt;0,Psychologia!H48," ")</f>
        <v xml:space="preserve"> </v>
      </c>
      <c r="I48" s="122" t="str">
        <f>IF(Psychologia!I48&gt;0,Psychologia!I48," ")</f>
        <v xml:space="preserve">Podstawy pomocy psychologicznej </v>
      </c>
      <c r="J48" s="123">
        <f>Psychologia!Y48+Psychologia!AV48</f>
        <v>100</v>
      </c>
      <c r="K48" s="124">
        <f>Psychologia!AS48+Psychologia!BP48</f>
        <v>35</v>
      </c>
      <c r="L48" s="125">
        <f>Psychologia!Z48+Psychologia!AW48</f>
        <v>65</v>
      </c>
      <c r="M48" s="126">
        <f>Psychologia!AB48+Psychologia!AD48+Psychologia!AY48+Psychologia!BA48</f>
        <v>5</v>
      </c>
      <c r="N48" s="220">
        <f>Psychologia!AA48+Psychologia!AX48</f>
        <v>65</v>
      </c>
      <c r="O48" s="232">
        <f>Psychologia!X48+Psychologia!AU48</f>
        <v>4</v>
      </c>
      <c r="P48" s="128" t="str">
        <f>IF(Psychologia!V48&gt;0,Psychologia!V48," ")</f>
        <v>zal/o</v>
      </c>
      <c r="Q48" s="150">
        <f t="shared" si="13"/>
        <v>1</v>
      </c>
      <c r="R48" s="135">
        <f t="shared" si="14"/>
        <v>2</v>
      </c>
      <c r="S48" s="161">
        <f t="shared" si="15"/>
        <v>2</v>
      </c>
      <c r="T48" s="132"/>
      <c r="U48" s="131"/>
      <c r="V48" s="131">
        <v>1</v>
      </c>
      <c r="W48" s="131"/>
      <c r="X48" s="131"/>
      <c r="Y48" s="131"/>
      <c r="Z48" s="131"/>
      <c r="AA48" s="131"/>
      <c r="AB48" s="131"/>
      <c r="AC48" s="131"/>
      <c r="AD48" s="131"/>
      <c r="AE48" s="133"/>
      <c r="AF48" s="132"/>
      <c r="AG48" s="131"/>
      <c r="AH48" s="131"/>
      <c r="AI48" s="131"/>
      <c r="AJ48" s="131">
        <v>1</v>
      </c>
      <c r="AK48" s="131">
        <v>1</v>
      </c>
      <c r="AL48" s="131"/>
      <c r="AM48" s="131"/>
      <c r="AN48" s="131"/>
      <c r="AO48" s="131"/>
      <c r="AP48" s="131"/>
      <c r="AQ48" s="131"/>
      <c r="AR48" s="131"/>
      <c r="AS48" s="131"/>
      <c r="AT48" s="131"/>
      <c r="AU48" s="131"/>
      <c r="AV48" s="131"/>
      <c r="AW48" s="131"/>
      <c r="AX48" s="131"/>
      <c r="AY48" s="131"/>
      <c r="AZ48" s="131"/>
      <c r="BA48" s="131"/>
      <c r="BB48" s="131"/>
      <c r="BC48" s="131"/>
      <c r="BD48" s="131"/>
      <c r="BE48" s="131"/>
      <c r="BF48" s="131"/>
      <c r="BG48" s="133"/>
      <c r="BH48" s="131"/>
      <c r="BI48" s="131">
        <v>1</v>
      </c>
      <c r="BJ48" s="131"/>
      <c r="BK48" s="131"/>
      <c r="BL48" s="131">
        <v>1</v>
      </c>
      <c r="BM48" s="131"/>
      <c r="BN48" s="131"/>
      <c r="BO48" s="131"/>
      <c r="BP48" s="131"/>
    </row>
    <row r="49" spans="1:68" s="44" customFormat="1" ht="30" customHeight="1" x14ac:dyDescent="0.25">
      <c r="A49" s="32">
        <f>Psychologia!A49</f>
        <v>29</v>
      </c>
      <c r="B49" s="127" t="str">
        <f>IF(Psychologia!B49&gt;0,Psychologia!B49," ")</f>
        <v xml:space="preserve"> </v>
      </c>
      <c r="C49" s="128" t="str">
        <f>IF(Psychologia!C49&gt;0,Psychologia!C49," ")</f>
        <v>2026/2027</v>
      </c>
      <c r="D49" s="128" t="str">
        <f>IF(Psychologia!D49&gt;0,Psychologia!D49," ")</f>
        <v xml:space="preserve"> </v>
      </c>
      <c r="E49" s="127">
        <f>IF(Psychologia!E49&gt;0,Psychologia!E49," ")</f>
        <v>2</v>
      </c>
      <c r="F49" s="32" t="str">
        <f>IF(Psychologia!F49&gt;0,Psychologia!F49," ")</f>
        <v>2027/2028</v>
      </c>
      <c r="G49" s="32" t="str">
        <f>IF(Psychologia!G49&gt;0,Psychologia!G49," ")</f>
        <v>RPS</v>
      </c>
      <c r="H49" s="122" t="str">
        <f>IF(Psychologia!H49&gt;0,Psychologia!H49," ")</f>
        <v xml:space="preserve"> </v>
      </c>
      <c r="I49" s="604" t="str">
        <f>IF(Psychologia!I49&gt;0,Psychologia!I49," ")</f>
        <v xml:space="preserve">Praktyki zawodowe w zakresie pomocy psychologicznej </v>
      </c>
      <c r="J49" s="123">
        <f>Psychologia!Y49+Psychologia!AV49</f>
        <v>160</v>
      </c>
      <c r="K49" s="124">
        <f>Psychologia!AS49+Psychologia!BP49</f>
        <v>0</v>
      </c>
      <c r="L49" s="125">
        <f>Psychologia!Z49+Psychologia!AW49</f>
        <v>160</v>
      </c>
      <c r="M49" s="126">
        <f>Psychologia!AB49+Psychologia!AD49+Psychologia!AY49+Psychologia!BA49</f>
        <v>0</v>
      </c>
      <c r="N49" s="220">
        <f>Psychologia!AA49+Psychologia!AX49</f>
        <v>160</v>
      </c>
      <c r="O49" s="232">
        <f>Psychologia!X49+Psychologia!AU49</f>
        <v>6</v>
      </c>
      <c r="P49" s="128" t="str">
        <f>IF(Psychologia!V49&gt;0,Psychologia!V49," ")</f>
        <v>zal/o</v>
      </c>
      <c r="Q49" s="150">
        <f t="shared" si="13"/>
        <v>0</v>
      </c>
      <c r="R49" s="135">
        <f t="shared" si="14"/>
        <v>4</v>
      </c>
      <c r="S49" s="161">
        <f t="shared" si="15"/>
        <v>2</v>
      </c>
      <c r="T49" s="132"/>
      <c r="U49" s="131"/>
      <c r="V49" s="131"/>
      <c r="W49" s="131"/>
      <c r="X49" s="131"/>
      <c r="Y49" s="131"/>
      <c r="Z49" s="131"/>
      <c r="AA49" s="131"/>
      <c r="AB49" s="131"/>
      <c r="AC49" s="131"/>
      <c r="AD49" s="131"/>
      <c r="AE49" s="133"/>
      <c r="AF49" s="132"/>
      <c r="AG49" s="131"/>
      <c r="AH49" s="131"/>
      <c r="AI49" s="131"/>
      <c r="AJ49" s="131">
        <v>1</v>
      </c>
      <c r="AK49" s="131"/>
      <c r="AL49" s="131"/>
      <c r="AM49" s="131"/>
      <c r="AN49" s="131">
        <v>1</v>
      </c>
      <c r="AO49" s="131"/>
      <c r="AP49" s="131"/>
      <c r="AQ49" s="131"/>
      <c r="AR49" s="131">
        <v>1</v>
      </c>
      <c r="AS49" s="131"/>
      <c r="AT49" s="131">
        <v>1</v>
      </c>
      <c r="AU49" s="131"/>
      <c r="AV49" s="131"/>
      <c r="AW49" s="131"/>
      <c r="AX49" s="131"/>
      <c r="AY49" s="131"/>
      <c r="AZ49" s="131"/>
      <c r="BA49" s="131"/>
      <c r="BB49" s="131"/>
      <c r="BC49" s="131"/>
      <c r="BD49" s="131"/>
      <c r="BE49" s="131"/>
      <c r="BF49" s="131"/>
      <c r="BG49" s="133"/>
      <c r="BH49" s="131"/>
      <c r="BI49" s="131">
        <v>1</v>
      </c>
      <c r="BJ49" s="131"/>
      <c r="BK49" s="131"/>
      <c r="BL49" s="131">
        <v>1</v>
      </c>
      <c r="BM49" s="131"/>
      <c r="BN49" s="131"/>
      <c r="BO49" s="131"/>
      <c r="BP49" s="131"/>
    </row>
    <row r="50" spans="1:68" s="44" customFormat="1" ht="30" customHeight="1" x14ac:dyDescent="0.25">
      <c r="A50" s="32">
        <f>Psychologia!A50</f>
        <v>30</v>
      </c>
      <c r="B50" s="127" t="str">
        <f>IF(Psychologia!B50&gt;0,Psychologia!B50," ")</f>
        <v xml:space="preserve"> </v>
      </c>
      <c r="C50" s="128" t="str">
        <f>IF(Psychologia!C50&gt;0,Psychologia!C50," ")</f>
        <v>2026/2027</v>
      </c>
      <c r="D50" s="128" t="str">
        <f>IF(Psychologia!D50&gt;0,Psychologia!D50," ")</f>
        <v xml:space="preserve"> </v>
      </c>
      <c r="E50" s="127">
        <f>IF(Psychologia!E50&gt;0,Psychologia!E50," ")</f>
        <v>2</v>
      </c>
      <c r="F50" s="32" t="str">
        <f>IF(Psychologia!F50&gt;0,Psychologia!F50," ")</f>
        <v>2027/2028</v>
      </c>
      <c r="G50" s="32" t="str">
        <f>IF(Psychologia!G50&gt;0,Psychologia!G50," ")</f>
        <v>RPS</v>
      </c>
      <c r="H50" s="122" t="str">
        <f>IF(Psychologia!H50&gt;0,Psychologia!H50," ")</f>
        <v xml:space="preserve"> </v>
      </c>
      <c r="I50" s="604" t="str">
        <f>IF(Psychologia!I50&gt;0,Psychologia!I50," ")</f>
        <v>Praktyki zawodowe w zakresie promocji i edukacji zdrowia</v>
      </c>
      <c r="J50" s="123">
        <f>Psychologia!Y50+Psychologia!AV50</f>
        <v>160</v>
      </c>
      <c r="K50" s="124">
        <f>Psychologia!AS50+Psychologia!BP50</f>
        <v>0</v>
      </c>
      <c r="L50" s="125">
        <f>Psychologia!Z50+Psychologia!AW50</f>
        <v>160</v>
      </c>
      <c r="M50" s="126">
        <f>Psychologia!AB50+Psychologia!AD50+Psychologia!AY50+Psychologia!BA50</f>
        <v>0</v>
      </c>
      <c r="N50" s="220">
        <f>Psychologia!AA50+Psychologia!AX50</f>
        <v>160</v>
      </c>
      <c r="O50" s="232">
        <f>Psychologia!X50+Psychologia!AU50</f>
        <v>6</v>
      </c>
      <c r="P50" s="128" t="str">
        <f>IF(Psychologia!V50&gt;0,Psychologia!V50," ")</f>
        <v>zal/o</v>
      </c>
      <c r="Q50" s="150">
        <f t="shared" si="13"/>
        <v>0</v>
      </c>
      <c r="R50" s="135">
        <f t="shared" si="14"/>
        <v>5</v>
      </c>
      <c r="S50" s="161">
        <f t="shared" si="15"/>
        <v>2</v>
      </c>
      <c r="T50" s="132"/>
      <c r="U50" s="131"/>
      <c r="V50" s="131"/>
      <c r="W50" s="131"/>
      <c r="X50" s="131"/>
      <c r="Y50" s="131"/>
      <c r="Z50" s="131"/>
      <c r="AA50" s="131"/>
      <c r="AB50" s="131"/>
      <c r="AC50" s="131"/>
      <c r="AD50" s="131"/>
      <c r="AE50" s="133"/>
      <c r="AF50" s="132"/>
      <c r="AG50" s="131"/>
      <c r="AH50" s="131"/>
      <c r="AI50" s="131"/>
      <c r="AJ50" s="131">
        <v>1</v>
      </c>
      <c r="AK50" s="131"/>
      <c r="AL50" s="131"/>
      <c r="AM50" s="131"/>
      <c r="AN50" s="131">
        <v>1</v>
      </c>
      <c r="AO50" s="131"/>
      <c r="AP50" s="131">
        <v>1</v>
      </c>
      <c r="AQ50" s="131"/>
      <c r="AR50" s="131">
        <v>1</v>
      </c>
      <c r="AS50" s="131"/>
      <c r="AT50" s="131"/>
      <c r="AU50" s="131"/>
      <c r="AV50" s="131"/>
      <c r="AW50" s="131"/>
      <c r="AX50" s="131"/>
      <c r="AY50" s="131">
        <v>1</v>
      </c>
      <c r="AZ50" s="131"/>
      <c r="BA50" s="131"/>
      <c r="BB50" s="131"/>
      <c r="BC50" s="131"/>
      <c r="BD50" s="131"/>
      <c r="BE50" s="131"/>
      <c r="BF50" s="131"/>
      <c r="BG50" s="133"/>
      <c r="BH50" s="131"/>
      <c r="BI50" s="131">
        <v>1</v>
      </c>
      <c r="BJ50" s="131"/>
      <c r="BK50" s="131"/>
      <c r="BL50" s="131">
        <v>1</v>
      </c>
      <c r="BM50" s="131"/>
      <c r="BN50" s="131"/>
      <c r="BO50" s="131"/>
      <c r="BP50" s="131"/>
    </row>
    <row r="51" spans="1:68" s="44" customFormat="1" ht="54.75" customHeight="1" x14ac:dyDescent="0.25">
      <c r="A51" s="32">
        <f>Psychologia!A51</f>
        <v>31</v>
      </c>
      <c r="B51" s="127" t="str">
        <f>IF(Psychologia!B51&gt;0,Psychologia!B51," ")</f>
        <v xml:space="preserve"> </v>
      </c>
      <c r="C51" s="128" t="str">
        <f>IF(Psychologia!C51&gt;0,Psychologia!C51," ")</f>
        <v>2026/2027</v>
      </c>
      <c r="D51" s="128" t="str">
        <f>IF(Psychologia!D51&gt;0,Psychologia!D51," ")</f>
        <v xml:space="preserve"> </v>
      </c>
      <c r="E51" s="127">
        <f>IF(Psychologia!E51&gt;0,Psychologia!E51," ")</f>
        <v>2</v>
      </c>
      <c r="F51" s="32" t="str">
        <f>IF(Psychologia!F51&gt;0,Psychologia!F51," ")</f>
        <v>2027/2028</v>
      </c>
      <c r="G51" s="32" t="str">
        <f>IF(Psychologia!G51&gt;0,Psychologia!G51," ")</f>
        <v>POW</v>
      </c>
      <c r="H51" s="122" t="str">
        <f>IF(Psychologia!H51&gt;0,Psychologia!H51," ")</f>
        <v xml:space="preserve"> </v>
      </c>
      <c r="I51" s="599" t="str">
        <f>IF(Psychologia!I51&gt;0,Psychologia!I51," ")</f>
        <v>Przedmiot fakultatywny 3: Prowadzenie działalności / Kampanie społeczne</v>
      </c>
      <c r="J51" s="123">
        <f>Psychologia!Y51+Psychologia!AV51</f>
        <v>50</v>
      </c>
      <c r="K51" s="124">
        <f>Psychologia!AS51+Psychologia!BP51</f>
        <v>10</v>
      </c>
      <c r="L51" s="125">
        <f>Psychologia!Z51+Psychologia!AW51</f>
        <v>40</v>
      </c>
      <c r="M51" s="126">
        <f>Psychologia!AB51+Psychologia!AD51+Psychologia!AY51+Psychologia!BA51</f>
        <v>0</v>
      </c>
      <c r="N51" s="220">
        <f>Psychologia!AA51+Psychologia!AX51</f>
        <v>40</v>
      </c>
      <c r="O51" s="232">
        <f>Psychologia!X51+Psychologia!AU51</f>
        <v>2</v>
      </c>
      <c r="P51" s="128" t="str">
        <f>IF(Psychologia!V51&gt;0,Psychologia!V51," ")</f>
        <v>zal/o</v>
      </c>
      <c r="Q51" s="150">
        <f t="shared" ref="Q51" si="17">SUM(T51:AE51)</f>
        <v>0</v>
      </c>
      <c r="R51" s="135">
        <f t="shared" ref="R51" si="18">SUM(AF51:BG51)</f>
        <v>0</v>
      </c>
      <c r="S51" s="161">
        <f t="shared" ref="S51" si="19">SUM(BH51:BP51)</f>
        <v>0</v>
      </c>
      <c r="T51" s="132"/>
      <c r="U51" s="131"/>
      <c r="V51" s="131"/>
      <c r="W51" s="131"/>
      <c r="X51" s="131"/>
      <c r="Y51" s="131"/>
      <c r="Z51" s="131"/>
      <c r="AA51" s="131"/>
      <c r="AB51" s="131"/>
      <c r="AC51" s="131"/>
      <c r="AD51" s="131"/>
      <c r="AE51" s="133"/>
      <c r="AF51" s="132"/>
      <c r="AG51" s="131"/>
      <c r="AH51" s="131"/>
      <c r="AI51" s="131"/>
      <c r="AJ51" s="131"/>
      <c r="AK51" s="131"/>
      <c r="AL51" s="131"/>
      <c r="AM51" s="131"/>
      <c r="AN51" s="131"/>
      <c r="AO51" s="131"/>
      <c r="AP51" s="131"/>
      <c r="AQ51" s="131"/>
      <c r="AR51" s="131"/>
      <c r="AS51" s="131"/>
      <c r="AT51" s="131"/>
      <c r="AU51" s="131"/>
      <c r="AV51" s="131"/>
      <c r="AW51" s="131"/>
      <c r="AX51" s="131"/>
      <c r="AY51" s="131"/>
      <c r="AZ51" s="131"/>
      <c r="BA51" s="131"/>
      <c r="BB51" s="131"/>
      <c r="BC51" s="131"/>
      <c r="BD51" s="131"/>
      <c r="BE51" s="131"/>
      <c r="BF51" s="131"/>
      <c r="BG51" s="133"/>
      <c r="BH51" s="131"/>
      <c r="BI51" s="131"/>
      <c r="BJ51" s="131"/>
      <c r="BK51" s="131"/>
      <c r="BL51" s="131"/>
      <c r="BM51" s="131"/>
      <c r="BN51" s="131"/>
      <c r="BO51" s="131"/>
      <c r="BP51" s="131"/>
    </row>
    <row r="52" spans="1:68" s="44" customFormat="1" ht="60.75" customHeight="1" x14ac:dyDescent="0.25">
      <c r="A52" s="32">
        <f>Psychologia!A52</f>
        <v>32</v>
      </c>
      <c r="B52" s="127" t="str">
        <f>IF(Psychologia!B52&gt;0,Psychologia!B52," ")</f>
        <v xml:space="preserve"> </v>
      </c>
      <c r="C52" s="128" t="str">
        <f>IF(Psychologia!C52&gt;0,Psychologia!C52," ")</f>
        <v>2026/2027</v>
      </c>
      <c r="D52" s="128" t="str">
        <f>IF(Psychologia!D52&gt;0,Psychologia!D52," ")</f>
        <v xml:space="preserve"> </v>
      </c>
      <c r="E52" s="127">
        <f>IF(Psychologia!E52&gt;0,Psychologia!E52," ")</f>
        <v>2</v>
      </c>
      <c r="F52" s="32" t="str">
        <f>IF(Psychologia!F52&gt;0,Psychologia!F52," ")</f>
        <v>2027/2028</v>
      </c>
      <c r="G52" s="32" t="str">
        <f>IF(Psychologia!G52&gt;0,Psychologia!G52," ")</f>
        <v>POW</v>
      </c>
      <c r="H52" s="122" t="str">
        <f>IF(Psychologia!H52&gt;0,Psychologia!H52," ")</f>
        <v xml:space="preserve"> </v>
      </c>
      <c r="I52" s="599" t="str">
        <f>IF(Psychologia!I52&gt;0,Psychologia!I52," ")</f>
        <v>Przedmiot fakultatywny 4: Podstawy organizacji i zarządzania / Psychologia języka</v>
      </c>
      <c r="J52" s="123">
        <f>Psychologia!Y52+Psychologia!AV52</f>
        <v>50</v>
      </c>
      <c r="K52" s="124">
        <f>Psychologia!AS52+Psychologia!BP52</f>
        <v>10</v>
      </c>
      <c r="L52" s="125">
        <f>Psychologia!Z52+Psychologia!AW52</f>
        <v>40</v>
      </c>
      <c r="M52" s="126">
        <f>Psychologia!AB52+Psychologia!AD52+Psychologia!AY52+Psychologia!BA52</f>
        <v>15</v>
      </c>
      <c r="N52" s="220">
        <f>Psychologia!AA52+Psychologia!AX52</f>
        <v>40</v>
      </c>
      <c r="O52" s="232">
        <f>Psychologia!X52+Psychologia!AU52</f>
        <v>2</v>
      </c>
      <c r="P52" s="128" t="str">
        <f>IF(Psychologia!V52&gt;0,Psychologia!V52," ")</f>
        <v>zal/o</v>
      </c>
      <c r="Q52" s="150">
        <f t="shared" si="13"/>
        <v>0</v>
      </c>
      <c r="R52" s="135">
        <f t="shared" si="14"/>
        <v>0</v>
      </c>
      <c r="S52" s="161">
        <f t="shared" si="15"/>
        <v>0</v>
      </c>
      <c r="T52" s="132"/>
      <c r="U52" s="131"/>
      <c r="V52" s="131"/>
      <c r="W52" s="131"/>
      <c r="X52" s="131"/>
      <c r="Y52" s="131"/>
      <c r="Z52" s="131"/>
      <c r="AA52" s="131"/>
      <c r="AB52" s="131"/>
      <c r="AC52" s="131"/>
      <c r="AD52" s="131"/>
      <c r="AE52" s="133"/>
      <c r="AF52" s="132"/>
      <c r="AG52" s="131"/>
      <c r="AH52" s="131"/>
      <c r="AI52" s="131"/>
      <c r="AJ52" s="131"/>
      <c r="AK52" s="131"/>
      <c r="AL52" s="131"/>
      <c r="AM52" s="131"/>
      <c r="AN52" s="131"/>
      <c r="AO52" s="131"/>
      <c r="AP52" s="131"/>
      <c r="AQ52" s="131"/>
      <c r="AR52" s="131"/>
      <c r="AS52" s="131"/>
      <c r="AT52" s="131"/>
      <c r="AU52" s="131"/>
      <c r="AV52" s="131"/>
      <c r="AW52" s="131"/>
      <c r="AX52" s="131"/>
      <c r="AY52" s="131"/>
      <c r="AZ52" s="131"/>
      <c r="BA52" s="131"/>
      <c r="BB52" s="131"/>
      <c r="BC52" s="131"/>
      <c r="BD52" s="131"/>
      <c r="BE52" s="131"/>
      <c r="BF52" s="131"/>
      <c r="BG52" s="133"/>
      <c r="BH52" s="131"/>
      <c r="BI52" s="131"/>
      <c r="BJ52" s="131"/>
      <c r="BK52" s="131"/>
      <c r="BL52" s="131"/>
      <c r="BM52" s="131"/>
      <c r="BN52" s="131"/>
      <c r="BO52" s="131"/>
      <c r="BP52" s="131"/>
    </row>
    <row r="53" spans="1:68" s="44" customFormat="1" ht="30" customHeight="1" x14ac:dyDescent="0.25">
      <c r="A53" s="32">
        <f>Psychologia!A53</f>
        <v>33</v>
      </c>
      <c r="B53" s="127" t="str">
        <f>IF(Psychologia!B53&gt;0,Psychologia!B53," ")</f>
        <v xml:space="preserve"> </v>
      </c>
      <c r="C53" s="128" t="str">
        <f>IF(Psychologia!C53&gt;0,Psychologia!C53," ")</f>
        <v>2026/2027</v>
      </c>
      <c r="D53" s="128" t="str">
        <f>IF(Psychologia!D53&gt;0,Psychologia!D53," ")</f>
        <v xml:space="preserve"> </v>
      </c>
      <c r="E53" s="127">
        <f>IF(Psychologia!E53&gt;0,Psychologia!E53," ")</f>
        <v>2</v>
      </c>
      <c r="F53" s="32" t="str">
        <f>IF(Psychologia!F53&gt;0,Psychologia!F53," ")</f>
        <v>2027/2028</v>
      </c>
      <c r="G53" s="32" t="str">
        <f>IF(Psychologia!G53&gt;0,Psychologia!G53," ")</f>
        <v>RPS</v>
      </c>
      <c r="H53" s="122" t="str">
        <f>IF(Psychologia!H53&gt;0,Psychologia!H53," ")</f>
        <v xml:space="preserve"> </v>
      </c>
      <c r="I53" s="122" t="str">
        <f>IF(Psychologia!I53&gt;0,Psychologia!I53," ")</f>
        <v>Psychologia emocji i motywacji I</v>
      </c>
      <c r="J53" s="123">
        <f>Psychologia!Y53+Psychologia!AV53</f>
        <v>75</v>
      </c>
      <c r="K53" s="124">
        <f>Psychologia!AS53+Psychologia!BP53</f>
        <v>15</v>
      </c>
      <c r="L53" s="125">
        <f>Psychologia!Z53+Psychologia!AW53</f>
        <v>60</v>
      </c>
      <c r="M53" s="126">
        <f>Psychologia!AB53+Psychologia!AD53+Psychologia!AY53+Psychologia!BA53</f>
        <v>30</v>
      </c>
      <c r="N53" s="220">
        <f>Psychologia!AA53+Psychologia!AX53</f>
        <v>60</v>
      </c>
      <c r="O53" s="232">
        <f>Psychologia!X53+Psychologia!AU53</f>
        <v>3</v>
      </c>
      <c r="P53" s="128" t="str">
        <f>IF(Psychologia!V53&gt;0,Psychologia!V53," ")</f>
        <v>zal/o</v>
      </c>
      <c r="Q53" s="150">
        <f t="shared" si="13"/>
        <v>1</v>
      </c>
      <c r="R53" s="135">
        <f t="shared" ref="R53" si="20">SUM(AF53:BG53)</f>
        <v>1</v>
      </c>
      <c r="S53" s="161">
        <f t="shared" si="15"/>
        <v>1</v>
      </c>
      <c r="T53" s="132">
        <v>1</v>
      </c>
      <c r="U53" s="131"/>
      <c r="V53" s="131"/>
      <c r="W53" s="131"/>
      <c r="X53" s="131"/>
      <c r="Y53" s="131"/>
      <c r="Z53" s="131"/>
      <c r="AA53" s="131"/>
      <c r="AB53" s="131"/>
      <c r="AC53" s="131"/>
      <c r="AD53" s="131"/>
      <c r="AE53" s="133"/>
      <c r="AF53" s="132"/>
      <c r="AG53" s="131"/>
      <c r="AH53" s="131"/>
      <c r="AI53" s="131"/>
      <c r="AJ53" s="131"/>
      <c r="AK53" s="131"/>
      <c r="AL53" s="131"/>
      <c r="AM53" s="131"/>
      <c r="AN53" s="131"/>
      <c r="AO53" s="131"/>
      <c r="AP53" s="131"/>
      <c r="AQ53" s="131"/>
      <c r="AR53" s="131"/>
      <c r="AS53" s="131"/>
      <c r="AT53" s="131"/>
      <c r="AU53" s="131"/>
      <c r="AV53" s="131"/>
      <c r="AW53" s="131">
        <v>1</v>
      </c>
      <c r="AX53" s="131"/>
      <c r="AY53" s="131"/>
      <c r="AZ53" s="131"/>
      <c r="BA53" s="131"/>
      <c r="BB53" s="131"/>
      <c r="BC53" s="131"/>
      <c r="BD53" s="131"/>
      <c r="BE53" s="131"/>
      <c r="BF53" s="131"/>
      <c r="BG53" s="133"/>
      <c r="BH53" s="131">
        <v>1</v>
      </c>
      <c r="BI53" s="131"/>
      <c r="BJ53" s="131"/>
      <c r="BK53" s="131"/>
      <c r="BL53" s="131"/>
      <c r="BM53" s="131"/>
      <c r="BN53" s="131"/>
      <c r="BO53" s="131"/>
      <c r="BP53" s="131"/>
    </row>
    <row r="54" spans="1:68" s="44" customFormat="1" ht="30" customHeight="1" x14ac:dyDescent="0.25">
      <c r="A54" s="32">
        <f>Psychologia!A54</f>
        <v>34</v>
      </c>
      <c r="B54" s="127" t="str">
        <f>IF(Psychologia!B54&gt;0,Psychologia!B54," ")</f>
        <v xml:space="preserve"> </v>
      </c>
      <c r="C54" s="128" t="str">
        <f>IF(Psychologia!C54&gt;0,Psychologia!C54," ")</f>
        <v>2026/2027</v>
      </c>
      <c r="D54" s="128" t="str">
        <f>IF(Psychologia!D54&gt;0,Psychologia!D54," ")</f>
        <v xml:space="preserve"> </v>
      </c>
      <c r="E54" s="127">
        <f>IF(Psychologia!E54&gt;0,Psychologia!E54," ")</f>
        <v>2</v>
      </c>
      <c r="F54" s="32" t="str">
        <f>IF(Psychologia!F54&gt;0,Psychologia!F54," ")</f>
        <v>2027/2028</v>
      </c>
      <c r="G54" s="32" t="str">
        <f>IF(Psychologia!G54&gt;0,Psychologia!G54," ")</f>
        <v>RPS</v>
      </c>
      <c r="H54" s="122" t="str">
        <f>IF(Psychologia!H54&gt;0,Psychologia!H54," ")</f>
        <v xml:space="preserve"> </v>
      </c>
      <c r="I54" s="122" t="str">
        <f>IF(Psychologia!I54&gt;0,Psychologia!I54," ")</f>
        <v>Psychologia emocji i motywacji II</v>
      </c>
      <c r="J54" s="123">
        <f>Psychologia!Y54+Psychologia!AV54</f>
        <v>75</v>
      </c>
      <c r="K54" s="124">
        <f>Psychologia!AS54+Psychologia!BP54</f>
        <v>15</v>
      </c>
      <c r="L54" s="125">
        <f>Psychologia!Z54+Psychologia!AW54</f>
        <v>60</v>
      </c>
      <c r="M54" s="126">
        <f>Psychologia!AB54+Psychologia!AD54+Psychologia!AY54+Psychologia!BA54</f>
        <v>30</v>
      </c>
      <c r="N54" s="220">
        <f>Psychologia!AA54+Psychologia!AX54</f>
        <v>60</v>
      </c>
      <c r="O54" s="232">
        <f>Psychologia!X54+Psychologia!AU54</f>
        <v>3</v>
      </c>
      <c r="P54" s="128" t="str">
        <f>IF(Psychologia!V54&gt;0,Psychologia!V54," ")</f>
        <v>egz</v>
      </c>
      <c r="Q54" s="150">
        <f t="shared" si="13"/>
        <v>2</v>
      </c>
      <c r="R54" s="135">
        <f t="shared" ref="R54:R60" si="21">SUM(AF54:BG54)</f>
        <v>2</v>
      </c>
      <c r="S54" s="161">
        <f t="shared" si="15"/>
        <v>1</v>
      </c>
      <c r="T54" s="132">
        <v>1</v>
      </c>
      <c r="U54" s="131"/>
      <c r="V54" s="131"/>
      <c r="W54" s="131"/>
      <c r="X54" s="131">
        <v>1</v>
      </c>
      <c r="Y54" s="131"/>
      <c r="Z54" s="131"/>
      <c r="AA54" s="131"/>
      <c r="AB54" s="131"/>
      <c r="AC54" s="131"/>
      <c r="AD54" s="131"/>
      <c r="AE54" s="133"/>
      <c r="AF54" s="132"/>
      <c r="AG54" s="131"/>
      <c r="AH54" s="131">
        <v>1</v>
      </c>
      <c r="AI54" s="131"/>
      <c r="AJ54" s="131"/>
      <c r="AK54" s="131"/>
      <c r="AL54" s="131"/>
      <c r="AM54" s="131"/>
      <c r="AN54" s="131"/>
      <c r="AO54" s="131"/>
      <c r="AP54" s="131"/>
      <c r="AQ54" s="131"/>
      <c r="AR54" s="131"/>
      <c r="AS54" s="131"/>
      <c r="AT54" s="131"/>
      <c r="AU54" s="131"/>
      <c r="AV54" s="131"/>
      <c r="AW54" s="131">
        <v>1</v>
      </c>
      <c r="AX54" s="131"/>
      <c r="AY54" s="131"/>
      <c r="AZ54" s="131"/>
      <c r="BA54" s="131"/>
      <c r="BB54" s="131"/>
      <c r="BC54" s="131"/>
      <c r="BD54" s="131"/>
      <c r="BE54" s="131"/>
      <c r="BF54" s="131"/>
      <c r="BG54" s="133"/>
      <c r="BH54" s="131">
        <v>1</v>
      </c>
      <c r="BI54" s="131"/>
      <c r="BJ54" s="131"/>
      <c r="BK54" s="131"/>
      <c r="BL54" s="131"/>
      <c r="BM54" s="131"/>
      <c r="BN54" s="131"/>
      <c r="BO54" s="131"/>
      <c r="BP54" s="131"/>
    </row>
    <row r="55" spans="1:68" s="44" customFormat="1" ht="30" customHeight="1" x14ac:dyDescent="0.25">
      <c r="A55" s="32">
        <f>Psychologia!A55</f>
        <v>35</v>
      </c>
      <c r="B55" s="127" t="str">
        <f>IF(Psychologia!B55&gt;0,Psychologia!B55," ")</f>
        <v xml:space="preserve"> </v>
      </c>
      <c r="C55" s="128" t="str">
        <f>IF(Psychologia!C55&gt;0,Psychologia!C55," ")</f>
        <v>2026/2027</v>
      </c>
      <c r="D55" s="128" t="str">
        <f>IF(Psychologia!D55&gt;0,Psychologia!D55," ")</f>
        <v xml:space="preserve"> </v>
      </c>
      <c r="E55" s="127">
        <f>IF(Psychologia!E55&gt;0,Psychologia!E55," ")</f>
        <v>2</v>
      </c>
      <c r="F55" s="32" t="str">
        <f>IF(Psychologia!F55&gt;0,Psychologia!F55," ")</f>
        <v>2027/2028</v>
      </c>
      <c r="G55" s="32" t="str">
        <f>IF(Psychologia!G55&gt;0,Psychologia!G55," ")</f>
        <v>RPS</v>
      </c>
      <c r="H55" s="122" t="str">
        <f>IF(Psychologia!H55&gt;0,Psychologia!H55," ")</f>
        <v xml:space="preserve"> </v>
      </c>
      <c r="I55" s="122" t="str">
        <f>IF(Psychologia!I55&gt;0,Psychologia!I55," ")</f>
        <v>Psychologia osobowości</v>
      </c>
      <c r="J55" s="123">
        <f>Psychologia!Y55+Psychologia!AV55</f>
        <v>125</v>
      </c>
      <c r="K55" s="124">
        <f>Psychologia!AS55+Psychologia!BP55</f>
        <v>55</v>
      </c>
      <c r="L55" s="125">
        <f>Psychologia!Z55+Psychologia!AW55</f>
        <v>70</v>
      </c>
      <c r="M55" s="126">
        <f>Psychologia!AB55+Psychologia!AD55+Psychologia!AY55+Psychologia!BA55</f>
        <v>30</v>
      </c>
      <c r="N55" s="220">
        <f>Psychologia!AA55+Psychologia!AX55</f>
        <v>70</v>
      </c>
      <c r="O55" s="232">
        <f>Psychologia!X55+Psychologia!AU55</f>
        <v>5</v>
      </c>
      <c r="P55" s="128" t="str">
        <f>IF(Psychologia!V55&gt;0,Psychologia!V55," ")</f>
        <v>egz</v>
      </c>
      <c r="Q55" s="150">
        <f t="shared" si="13"/>
        <v>3</v>
      </c>
      <c r="R55" s="135">
        <f t="shared" si="21"/>
        <v>2</v>
      </c>
      <c r="S55" s="161">
        <f t="shared" si="15"/>
        <v>1</v>
      </c>
      <c r="T55" s="132">
        <v>1</v>
      </c>
      <c r="U55" s="131"/>
      <c r="V55" s="131">
        <v>1</v>
      </c>
      <c r="W55" s="131"/>
      <c r="X55" s="131">
        <v>1</v>
      </c>
      <c r="Y55" s="131"/>
      <c r="Z55" s="131"/>
      <c r="AA55" s="131"/>
      <c r="AB55" s="131"/>
      <c r="AC55" s="131"/>
      <c r="AD55" s="131"/>
      <c r="AE55" s="133"/>
      <c r="AF55" s="132"/>
      <c r="AG55" s="131"/>
      <c r="AH55" s="131">
        <v>1</v>
      </c>
      <c r="AI55" s="131"/>
      <c r="AJ55" s="131"/>
      <c r="AK55" s="131"/>
      <c r="AL55" s="131"/>
      <c r="AM55" s="131"/>
      <c r="AN55" s="131"/>
      <c r="AO55" s="131"/>
      <c r="AP55" s="131"/>
      <c r="AQ55" s="131"/>
      <c r="AR55" s="131"/>
      <c r="AS55" s="131"/>
      <c r="AT55" s="131"/>
      <c r="AU55" s="131"/>
      <c r="AV55" s="131"/>
      <c r="AW55" s="131">
        <v>1</v>
      </c>
      <c r="AX55" s="131"/>
      <c r="AY55" s="131"/>
      <c r="AZ55" s="131"/>
      <c r="BA55" s="131"/>
      <c r="BB55" s="131"/>
      <c r="BC55" s="131"/>
      <c r="BD55" s="131"/>
      <c r="BE55" s="131"/>
      <c r="BF55" s="131"/>
      <c r="BG55" s="133"/>
      <c r="BH55" s="131">
        <v>1</v>
      </c>
      <c r="BI55" s="131"/>
      <c r="BJ55" s="131"/>
      <c r="BK55" s="131"/>
      <c r="BL55" s="131"/>
      <c r="BM55" s="131"/>
      <c r="BN55" s="131"/>
      <c r="BO55" s="131"/>
      <c r="BP55" s="131"/>
    </row>
    <row r="56" spans="1:68" s="44" customFormat="1" ht="30" customHeight="1" x14ac:dyDescent="0.25">
      <c r="A56" s="32">
        <f>Psychologia!A56</f>
        <v>36</v>
      </c>
      <c r="B56" s="127" t="str">
        <f>IF(Psychologia!B56&gt;0,Psychologia!B56," ")</f>
        <v xml:space="preserve"> </v>
      </c>
      <c r="C56" s="128" t="str">
        <f>IF(Psychologia!C56&gt;0,Psychologia!C56," ")</f>
        <v>2026/2027</v>
      </c>
      <c r="D56" s="128" t="str">
        <f>IF(Psychologia!D56&gt;0,Psychologia!D56," ")</f>
        <v xml:space="preserve"> </v>
      </c>
      <c r="E56" s="127">
        <f>IF(Psychologia!E56&gt;0,Psychologia!E56," ")</f>
        <v>2</v>
      </c>
      <c r="F56" s="32" t="str">
        <f>IF(Psychologia!F56&gt;0,Psychologia!F56," ")</f>
        <v>2027/2028</v>
      </c>
      <c r="G56" s="32" t="str">
        <f>IF(Psychologia!G56&gt;0,Psychologia!G56," ")</f>
        <v>RPS</v>
      </c>
      <c r="H56" s="122" t="str">
        <f>IF(Psychologia!H56&gt;0,Psychologia!H56," ")</f>
        <v xml:space="preserve"> </v>
      </c>
      <c r="I56" s="122" t="str">
        <f>IF(Psychologia!I56&gt;0,Psychologia!I56," ")</f>
        <v xml:space="preserve">Psychologia procesów poznawczych </v>
      </c>
      <c r="J56" s="123">
        <f>Psychologia!Y56+Psychologia!AV56</f>
        <v>100</v>
      </c>
      <c r="K56" s="124">
        <f>Psychologia!AS56+Psychologia!BP56</f>
        <v>40</v>
      </c>
      <c r="L56" s="125">
        <f>Psychologia!Z56+Psychologia!AW56</f>
        <v>60</v>
      </c>
      <c r="M56" s="126">
        <f>Psychologia!AB56+Psychologia!AD56+Psychologia!AY56+Psychologia!BA56</f>
        <v>30</v>
      </c>
      <c r="N56" s="220">
        <f>Psychologia!AA56+Psychologia!AX56</f>
        <v>60</v>
      </c>
      <c r="O56" s="232">
        <f>Psychologia!X56+Psychologia!AU56</f>
        <v>4</v>
      </c>
      <c r="P56" s="128" t="str">
        <f>IF(Psychologia!V56&gt;0,Psychologia!V56," ")</f>
        <v>egz</v>
      </c>
      <c r="Q56" s="150">
        <f t="shared" si="13"/>
        <v>2</v>
      </c>
      <c r="R56" s="135">
        <f t="shared" si="21"/>
        <v>2</v>
      </c>
      <c r="S56" s="161">
        <f t="shared" si="15"/>
        <v>1</v>
      </c>
      <c r="T56" s="132">
        <v>1</v>
      </c>
      <c r="U56" s="131"/>
      <c r="V56" s="131"/>
      <c r="W56" s="131"/>
      <c r="X56" s="131">
        <v>1</v>
      </c>
      <c r="Y56" s="131"/>
      <c r="Z56" s="131"/>
      <c r="AA56" s="131"/>
      <c r="AB56" s="131"/>
      <c r="AC56" s="131"/>
      <c r="AD56" s="131"/>
      <c r="AE56" s="133"/>
      <c r="AF56" s="132"/>
      <c r="AG56" s="131"/>
      <c r="AH56" s="131">
        <v>1</v>
      </c>
      <c r="AI56" s="131"/>
      <c r="AJ56" s="131"/>
      <c r="AK56" s="131"/>
      <c r="AL56" s="131"/>
      <c r="AM56" s="131"/>
      <c r="AN56" s="131"/>
      <c r="AO56" s="131"/>
      <c r="AP56" s="131"/>
      <c r="AQ56" s="131"/>
      <c r="AR56" s="131"/>
      <c r="AS56" s="131"/>
      <c r="AT56" s="131"/>
      <c r="AU56" s="131"/>
      <c r="AV56" s="131"/>
      <c r="AW56" s="131">
        <v>1</v>
      </c>
      <c r="AX56" s="131"/>
      <c r="AY56" s="131"/>
      <c r="AZ56" s="131"/>
      <c r="BA56" s="131"/>
      <c r="BB56" s="131"/>
      <c r="BC56" s="131"/>
      <c r="BD56" s="131"/>
      <c r="BE56" s="131"/>
      <c r="BF56" s="131"/>
      <c r="BG56" s="133"/>
      <c r="BH56" s="131">
        <v>1</v>
      </c>
      <c r="BI56" s="131"/>
      <c r="BJ56" s="131"/>
      <c r="BK56" s="131"/>
      <c r="BL56" s="131"/>
      <c r="BM56" s="131"/>
      <c r="BN56" s="131"/>
      <c r="BO56" s="131"/>
      <c r="BP56" s="131"/>
    </row>
    <row r="57" spans="1:68" s="44" customFormat="1" ht="30" customHeight="1" x14ac:dyDescent="0.25">
      <c r="A57" s="32">
        <f>Psychologia!A57</f>
        <v>37</v>
      </c>
      <c r="B57" s="127" t="str">
        <f>IF(Psychologia!B57&gt;0,Psychologia!B57," ")</f>
        <v xml:space="preserve"> </v>
      </c>
      <c r="C57" s="128" t="str">
        <f>IF(Psychologia!C57&gt;0,Psychologia!C57," ")</f>
        <v>2026/2027</v>
      </c>
      <c r="D57" s="128" t="str">
        <f>IF(Psychologia!D57&gt;0,Psychologia!D57," ")</f>
        <v xml:space="preserve"> </v>
      </c>
      <c r="E57" s="127">
        <v>2</v>
      </c>
      <c r="F57" s="32" t="s">
        <v>106</v>
      </c>
      <c r="G57" s="32" t="str">
        <f>IF(Psychologia!G57&gt;0,Psychologia!G57," ")</f>
        <v>RPS</v>
      </c>
      <c r="H57" s="122" t="str">
        <f>IF(Psychologia!H57&gt;0,Psychologia!H57," ")</f>
        <v xml:space="preserve"> </v>
      </c>
      <c r="I57" s="122" t="str">
        <f>IF(Psychologia!I57&gt;0,Psychologia!I57," ")</f>
        <v>Psychologia rozwoju człowieka</v>
      </c>
      <c r="J57" s="123">
        <f>Psychologia!Y57+Psychologia!AV57</f>
        <v>100</v>
      </c>
      <c r="K57" s="124">
        <f>Psychologia!AS57+Psychologia!BP57</f>
        <v>50</v>
      </c>
      <c r="L57" s="125">
        <f>Psychologia!Z57+Psychologia!AW57</f>
        <v>50</v>
      </c>
      <c r="M57" s="126">
        <f>Psychologia!AB57+Psychologia!AD57+Psychologia!AY57+Psychologia!BA57</f>
        <v>30</v>
      </c>
      <c r="N57" s="220">
        <f>Psychologia!AA57+Psychologia!AX57</f>
        <v>50</v>
      </c>
      <c r="O57" s="232">
        <f>Psychologia!X57+Psychologia!AU57</f>
        <v>4</v>
      </c>
      <c r="P57" s="128" t="str">
        <f>IF(Psychologia!V57&gt;0,Psychologia!V57," ")</f>
        <v>egz</v>
      </c>
      <c r="Q57" s="150">
        <f t="shared" si="13"/>
        <v>3</v>
      </c>
      <c r="R57" s="135">
        <f t="shared" si="21"/>
        <v>2</v>
      </c>
      <c r="S57" s="161">
        <f t="shared" si="15"/>
        <v>1</v>
      </c>
      <c r="T57" s="132"/>
      <c r="U57" s="131"/>
      <c r="V57" s="131"/>
      <c r="W57" s="131">
        <v>1</v>
      </c>
      <c r="X57" s="131"/>
      <c r="Y57" s="131"/>
      <c r="Z57" s="131">
        <v>1</v>
      </c>
      <c r="AA57" s="131">
        <v>1</v>
      </c>
      <c r="AB57" s="131"/>
      <c r="AC57" s="131"/>
      <c r="AD57" s="131"/>
      <c r="AE57" s="133"/>
      <c r="AF57" s="132"/>
      <c r="AG57" s="131"/>
      <c r="AH57" s="131"/>
      <c r="AI57" s="131"/>
      <c r="AJ57" s="131"/>
      <c r="AK57" s="131"/>
      <c r="AL57" s="131">
        <v>1</v>
      </c>
      <c r="AM57" s="131"/>
      <c r="AN57" s="131"/>
      <c r="AO57" s="131"/>
      <c r="AP57" s="131"/>
      <c r="AQ57" s="131"/>
      <c r="AR57" s="131"/>
      <c r="AS57" s="131"/>
      <c r="AT57" s="131"/>
      <c r="AU57" s="131"/>
      <c r="AV57" s="131"/>
      <c r="AW57" s="131">
        <v>1</v>
      </c>
      <c r="AX57" s="131"/>
      <c r="AY57" s="131"/>
      <c r="AZ57" s="131"/>
      <c r="BA57" s="131"/>
      <c r="BB57" s="131"/>
      <c r="BC57" s="131"/>
      <c r="BD57" s="131"/>
      <c r="BE57" s="131"/>
      <c r="BF57" s="131"/>
      <c r="BG57" s="133"/>
      <c r="BH57" s="131">
        <v>1</v>
      </c>
      <c r="BI57" s="131"/>
      <c r="BJ57" s="131"/>
      <c r="BK57" s="131"/>
      <c r="BL57" s="131"/>
      <c r="BM57" s="131"/>
      <c r="BN57" s="131"/>
      <c r="BO57" s="131"/>
      <c r="BP57" s="131"/>
    </row>
    <row r="58" spans="1:68" s="44" customFormat="1" ht="30" customHeight="1" x14ac:dyDescent="0.25">
      <c r="A58" s="32">
        <f>Psychologia!A58</f>
        <v>38</v>
      </c>
      <c r="B58" s="127" t="str">
        <f>IF(Psychologia!B58&gt;0,Psychologia!B58," ")</f>
        <v xml:space="preserve"> </v>
      </c>
      <c r="C58" s="128" t="str">
        <f>IF(Psychologia!C58&gt;0,Psychologia!C58," ")</f>
        <v>2026/2027</v>
      </c>
      <c r="D58" s="128" t="str">
        <f>IF(Psychologia!D58&gt;0,Psychologia!D58," ")</f>
        <v xml:space="preserve"> </v>
      </c>
      <c r="E58" s="127">
        <f>IF(Psychologia!E58&gt;0,Psychologia!E58," ")</f>
        <v>2</v>
      </c>
      <c r="F58" s="32" t="str">
        <f>IF(Psychologia!F58&gt;0,Psychologia!F58," ")</f>
        <v>2027/2028</v>
      </c>
      <c r="G58" s="32" t="str">
        <f>IF(Psychologia!G58&gt;0,Psychologia!G58," ")</f>
        <v>RPS</v>
      </c>
      <c r="H58" s="122" t="str">
        <f>IF(Psychologia!H58&gt;0,Psychologia!H58," ")</f>
        <v xml:space="preserve"> </v>
      </c>
      <c r="I58" s="122" t="str">
        <f>IF(Psychologia!I58&gt;0,Psychologia!I58," ")</f>
        <v>Psychologia różnic indywidualnych I</v>
      </c>
      <c r="J58" s="123">
        <f>Psychologia!Y58+Psychologia!AV58</f>
        <v>50</v>
      </c>
      <c r="K58" s="124">
        <f>Psychologia!AS58+Psychologia!BP58</f>
        <v>0</v>
      </c>
      <c r="L58" s="125">
        <f>Psychologia!Z58+Psychologia!AW58</f>
        <v>50</v>
      </c>
      <c r="M58" s="126">
        <f>Psychologia!AB58+Psychologia!AD58+Psychologia!AY58+Psychologia!BA58</f>
        <v>25</v>
      </c>
      <c r="N58" s="220">
        <f>Psychologia!AA58+Psychologia!AX58</f>
        <v>50</v>
      </c>
      <c r="O58" s="232">
        <f>Psychologia!X58+Psychologia!AU58</f>
        <v>2</v>
      </c>
      <c r="P58" s="128" t="str">
        <f>IF(Psychologia!V58&gt;0,Psychologia!V58," ")</f>
        <v>zal/o</v>
      </c>
      <c r="Q58" s="150">
        <f t="shared" si="13"/>
        <v>1</v>
      </c>
      <c r="R58" s="135">
        <f t="shared" si="21"/>
        <v>1</v>
      </c>
      <c r="S58" s="161">
        <f t="shared" si="15"/>
        <v>1</v>
      </c>
      <c r="T58" s="132">
        <v>1</v>
      </c>
      <c r="U58" s="131"/>
      <c r="V58" s="131"/>
      <c r="W58" s="131"/>
      <c r="X58" s="131"/>
      <c r="Y58" s="131"/>
      <c r="Z58" s="131"/>
      <c r="AA58" s="131"/>
      <c r="AB58" s="131"/>
      <c r="AC58" s="131"/>
      <c r="AD58" s="131"/>
      <c r="AE58" s="133"/>
      <c r="AF58" s="132"/>
      <c r="AG58" s="131"/>
      <c r="AH58" s="131"/>
      <c r="AI58" s="131"/>
      <c r="AJ58" s="131"/>
      <c r="AK58" s="131"/>
      <c r="AL58" s="131">
        <v>1</v>
      </c>
      <c r="AM58" s="131"/>
      <c r="AN58" s="131"/>
      <c r="AO58" s="131"/>
      <c r="AP58" s="131"/>
      <c r="AQ58" s="131"/>
      <c r="AR58" s="131"/>
      <c r="AS58" s="131"/>
      <c r="AT58" s="131"/>
      <c r="AU58" s="131"/>
      <c r="AV58" s="131"/>
      <c r="AW58" s="131"/>
      <c r="AX58" s="131"/>
      <c r="AY58" s="131"/>
      <c r="AZ58" s="131"/>
      <c r="BA58" s="131"/>
      <c r="BB58" s="131"/>
      <c r="BC58" s="131"/>
      <c r="BD58" s="131"/>
      <c r="BE58" s="131"/>
      <c r="BF58" s="131"/>
      <c r="BG58" s="133"/>
      <c r="BH58" s="131">
        <v>1</v>
      </c>
      <c r="BI58" s="131"/>
      <c r="BJ58" s="131"/>
      <c r="BK58" s="131"/>
      <c r="BL58" s="131"/>
      <c r="BM58" s="131"/>
      <c r="BN58" s="131"/>
      <c r="BO58" s="131"/>
      <c r="BP58" s="131"/>
    </row>
    <row r="59" spans="1:68" s="44" customFormat="1" ht="30.6" customHeight="1" x14ac:dyDescent="0.25">
      <c r="A59" s="32">
        <f>Psychologia!A59</f>
        <v>39</v>
      </c>
      <c r="B59" s="127" t="str">
        <f>IF(Psychologia!B59&gt;0,Psychologia!B59," ")</f>
        <v xml:space="preserve"> </v>
      </c>
      <c r="C59" s="128" t="str">
        <f>IF(Psychologia!C59&gt;0,Psychologia!C59," ")</f>
        <v>2026/2027</v>
      </c>
      <c r="D59" s="128" t="str">
        <f>IF(Psychologia!D59&gt;0,Psychologia!D59," ")</f>
        <v xml:space="preserve"> </v>
      </c>
      <c r="E59" s="127">
        <f>IF(Psychologia!E59&gt;0,Psychologia!E59," ")</f>
        <v>2</v>
      </c>
      <c r="F59" s="32" t="str">
        <f>IF(Psychologia!F59&gt;0,Psychologia!F59," ")</f>
        <v>2027/2028</v>
      </c>
      <c r="G59" s="32" t="str">
        <f>IF(Psychologia!G59&gt;0,Psychologia!G59," ")</f>
        <v>RPS</v>
      </c>
      <c r="H59" s="122" t="str">
        <f>IF(Psychologia!H59&gt;0,Psychologia!H59," ")</f>
        <v xml:space="preserve"> </v>
      </c>
      <c r="I59" s="122" t="str">
        <f>IF(Psychologia!I59&gt;0,Psychologia!I59," ")</f>
        <v>Psychologia różnic indywidualnych II</v>
      </c>
      <c r="J59" s="123">
        <f>Psychologia!Y59+Psychologia!AV59</f>
        <v>75</v>
      </c>
      <c r="K59" s="124">
        <f>Psychologia!AS59+Psychologia!BP59</f>
        <v>25</v>
      </c>
      <c r="L59" s="125">
        <f>Psychologia!Z59+Psychologia!AW59</f>
        <v>50</v>
      </c>
      <c r="M59" s="126">
        <f>Psychologia!AB59+Psychologia!AD59+Psychologia!AY59+Psychologia!BA59</f>
        <v>20</v>
      </c>
      <c r="N59" s="220">
        <f>Psychologia!AA59+Psychologia!AX59</f>
        <v>50</v>
      </c>
      <c r="O59" s="232">
        <f>Psychologia!X59+Psychologia!AU59</f>
        <v>3</v>
      </c>
      <c r="P59" s="128" t="str">
        <f>IF(Psychologia!V59&gt;0,Psychologia!V59," ")</f>
        <v>egz</v>
      </c>
      <c r="Q59" s="150">
        <f t="shared" si="13"/>
        <v>2</v>
      </c>
      <c r="R59" s="135">
        <f t="shared" si="21"/>
        <v>3</v>
      </c>
      <c r="S59" s="161">
        <f t="shared" si="15"/>
        <v>1</v>
      </c>
      <c r="T59" s="132">
        <v>1</v>
      </c>
      <c r="U59" s="131"/>
      <c r="V59" s="131"/>
      <c r="W59" s="131"/>
      <c r="X59" s="131">
        <v>1</v>
      </c>
      <c r="Y59" s="131"/>
      <c r="Z59" s="131"/>
      <c r="AA59" s="131"/>
      <c r="AB59" s="131"/>
      <c r="AC59" s="131"/>
      <c r="AD59" s="131"/>
      <c r="AE59" s="133"/>
      <c r="AF59" s="132"/>
      <c r="AG59" s="131"/>
      <c r="AH59" s="131">
        <v>1</v>
      </c>
      <c r="AI59" s="131"/>
      <c r="AJ59" s="131"/>
      <c r="AK59" s="131"/>
      <c r="AL59" s="131">
        <v>1</v>
      </c>
      <c r="AM59" s="131"/>
      <c r="AN59" s="131"/>
      <c r="AO59" s="131"/>
      <c r="AP59" s="131"/>
      <c r="AQ59" s="131"/>
      <c r="AR59" s="131"/>
      <c r="AS59" s="131"/>
      <c r="AT59" s="131"/>
      <c r="AU59" s="131"/>
      <c r="AV59" s="131"/>
      <c r="AW59" s="131">
        <v>1</v>
      </c>
      <c r="AX59" s="131"/>
      <c r="AY59" s="131"/>
      <c r="AZ59" s="131"/>
      <c r="BA59" s="131"/>
      <c r="BB59" s="131"/>
      <c r="BC59" s="131"/>
      <c r="BD59" s="131"/>
      <c r="BE59" s="131"/>
      <c r="BF59" s="131"/>
      <c r="BG59" s="133"/>
      <c r="BH59" s="131">
        <v>1</v>
      </c>
      <c r="BI59" s="131"/>
      <c r="BJ59" s="131"/>
      <c r="BK59" s="131"/>
      <c r="BL59" s="131"/>
      <c r="BM59" s="131"/>
      <c r="BN59" s="131"/>
      <c r="BO59" s="131"/>
      <c r="BP59" s="131"/>
    </row>
    <row r="60" spans="1:68" s="44" customFormat="1" ht="30.6" customHeight="1" thickBot="1" x14ac:dyDescent="0.3">
      <c r="A60" s="32">
        <f>Psychologia!A60</f>
        <v>40</v>
      </c>
      <c r="B60" s="127" t="str">
        <f>IF(Psychologia!B60&gt;0,Psychologia!B60," ")</f>
        <v xml:space="preserve"> </v>
      </c>
      <c r="C60" s="128" t="str">
        <f>IF(Psychologia!C60&gt;0,Psychologia!C60," ")</f>
        <v>2026/2027</v>
      </c>
      <c r="D60" s="128" t="str">
        <f>IF(Psychologia!D60&gt;0,Psychologia!D60," ")</f>
        <v xml:space="preserve"> </v>
      </c>
      <c r="E60" s="127">
        <f>IF(Psychologia!E60&gt;0,Psychologia!E60," ")</f>
        <v>2</v>
      </c>
      <c r="F60" s="32" t="str">
        <f>IF(Psychologia!F60&gt;0,Psychologia!F60," ")</f>
        <v>2027/2028</v>
      </c>
      <c r="G60" s="32" t="str">
        <f>IF(Psychologia!G60&gt;0,Psychologia!G60," ")</f>
        <v>RPS</v>
      </c>
      <c r="H60" s="122" t="str">
        <f>IF(Psychologia!H60&gt;0,Psychologia!H60," ")</f>
        <v xml:space="preserve"> </v>
      </c>
      <c r="I60" s="122" t="str">
        <f>IF(Psychologia!I60&gt;0,Psychologia!I60," ")</f>
        <v>Socjologia</v>
      </c>
      <c r="J60" s="355">
        <f>Psychologia!Y60+Psychologia!AV60</f>
        <v>50</v>
      </c>
      <c r="K60" s="356">
        <f>Psychologia!AS60+Psychologia!BP60</f>
        <v>20</v>
      </c>
      <c r="L60" s="357">
        <f>Psychologia!Z60+Psychologia!AW60</f>
        <v>30</v>
      </c>
      <c r="M60" s="358">
        <f>Psychologia!AB60+Psychologia!AD60+Psychologia!AY60+Psychologia!BA60</f>
        <v>30</v>
      </c>
      <c r="N60" s="359">
        <f>Psychologia!AA60+Psychologia!AX60</f>
        <v>30</v>
      </c>
      <c r="O60" s="360">
        <f>Psychologia!X60+Psychologia!AU60</f>
        <v>2</v>
      </c>
      <c r="P60" s="361" t="str">
        <f>IF(Psychologia!V60&gt;0,Psychologia!V60," ")</f>
        <v>egz</v>
      </c>
      <c r="Q60" s="362">
        <f t="shared" si="13"/>
        <v>1</v>
      </c>
      <c r="R60" s="363">
        <f t="shared" si="21"/>
        <v>0</v>
      </c>
      <c r="S60" s="364">
        <f t="shared" si="15"/>
        <v>1</v>
      </c>
      <c r="T60" s="132">
        <v>1</v>
      </c>
      <c r="U60" s="131"/>
      <c r="V60" s="131"/>
      <c r="W60" s="131"/>
      <c r="X60" s="131"/>
      <c r="Y60" s="131"/>
      <c r="Z60" s="131"/>
      <c r="AA60" s="131"/>
      <c r="AB60" s="131"/>
      <c r="AC60" s="131"/>
      <c r="AD60" s="131"/>
      <c r="AE60" s="133"/>
      <c r="AF60" s="132"/>
      <c r="AG60" s="131"/>
      <c r="AH60" s="131"/>
      <c r="AI60" s="131"/>
      <c r="AJ60" s="131"/>
      <c r="AK60" s="131"/>
      <c r="AL60" s="131"/>
      <c r="AM60" s="131"/>
      <c r="AN60" s="131"/>
      <c r="AO60" s="131"/>
      <c r="AP60" s="131"/>
      <c r="AQ60" s="131"/>
      <c r="AR60" s="131"/>
      <c r="AS60" s="131"/>
      <c r="AT60" s="131"/>
      <c r="AU60" s="131"/>
      <c r="AV60" s="131"/>
      <c r="AW60" s="131"/>
      <c r="AX60" s="131"/>
      <c r="AY60" s="131"/>
      <c r="AZ60" s="131"/>
      <c r="BA60" s="131"/>
      <c r="BB60" s="131"/>
      <c r="BC60" s="131"/>
      <c r="BD60" s="131"/>
      <c r="BE60" s="131"/>
      <c r="BF60" s="131"/>
      <c r="BG60" s="133"/>
      <c r="BH60" s="131">
        <v>1</v>
      </c>
      <c r="BI60" s="131"/>
      <c r="BJ60" s="131"/>
      <c r="BK60" s="131"/>
      <c r="BL60" s="131"/>
      <c r="BM60" s="131"/>
      <c r="BN60" s="131"/>
      <c r="BO60" s="131"/>
      <c r="BP60" s="131"/>
    </row>
    <row r="61" spans="1:68" s="44" customFormat="1" ht="30" customHeight="1" thickBot="1" x14ac:dyDescent="0.3">
      <c r="A61" s="302"/>
      <c r="B61" s="303" t="str">
        <f>IF(Psychologia!B61&gt;0,Psychologia!B61," ")</f>
        <v xml:space="preserve"> </v>
      </c>
      <c r="C61" s="304" t="str">
        <f>IF(Psychologia!C61&gt;0,Psychologia!C61," ")</f>
        <v xml:space="preserve"> </v>
      </c>
      <c r="D61" s="304" t="str">
        <f>IF(Psychologia!D61&gt;0,Psychologia!D61," ")</f>
        <v xml:space="preserve"> </v>
      </c>
      <c r="E61" s="303" t="str">
        <f>IF(Psychologia!E61&gt;0,Psychologia!E61," ")</f>
        <v xml:space="preserve"> </v>
      </c>
      <c r="F61" s="304" t="str">
        <f>IF(Psychologia!F61&gt;0,Psychologia!F61," ")</f>
        <v xml:space="preserve"> </v>
      </c>
      <c r="G61" s="304" t="str">
        <f>IF(Psychologia!G61&gt;0,Psychologia!G61," ")</f>
        <v xml:space="preserve"> </v>
      </c>
      <c r="H61" s="305" t="str">
        <f>IF(Psychologia!H61&gt;0,Psychologia!H61," ")</f>
        <v xml:space="preserve"> </v>
      </c>
      <c r="I61" s="301" t="str">
        <f>IF(Psychologia!I61&gt;0,Psychologia!I61," ")</f>
        <v>sumy dla 2 roku</v>
      </c>
      <c r="J61" s="306">
        <f>Psychologia!Y61+Psychologia!AV61</f>
        <v>1520</v>
      </c>
      <c r="K61" s="307">
        <f>Psychologia!AS61+Psychologia!BP61</f>
        <v>450</v>
      </c>
      <c r="L61" s="308">
        <f>SUM(Psychologia!O43:O60)</f>
        <v>1070</v>
      </c>
      <c r="M61" s="308">
        <f>SUM(M43:M60)</f>
        <v>285</v>
      </c>
      <c r="N61" s="308">
        <f>SUM(Psychologia!P43:P60)</f>
        <v>1070</v>
      </c>
      <c r="O61" s="308">
        <f>SUM(Psychologia!Q43:Q60)</f>
        <v>60</v>
      </c>
      <c r="P61" s="308" t="str">
        <f>IF(Psychologia!V61&gt;0,Psychologia!V61," ")</f>
        <v xml:space="preserve"> </v>
      </c>
      <c r="Q61" s="308">
        <f t="shared" ref="Q61:AV61" si="22">SUM(Q43:Q60)</f>
        <v>21</v>
      </c>
      <c r="R61" s="308">
        <f t="shared" si="22"/>
        <v>31</v>
      </c>
      <c r="S61" s="611">
        <f t="shared" si="22"/>
        <v>20</v>
      </c>
      <c r="T61" s="1071">
        <f t="shared" si="22"/>
        <v>7</v>
      </c>
      <c r="U61" s="1043">
        <f t="shared" si="22"/>
        <v>1</v>
      </c>
      <c r="V61" s="1043">
        <f t="shared" si="22"/>
        <v>2</v>
      </c>
      <c r="W61" s="1043">
        <f t="shared" si="22"/>
        <v>2</v>
      </c>
      <c r="X61" s="1043">
        <f t="shared" si="22"/>
        <v>4</v>
      </c>
      <c r="Y61" s="1043">
        <f t="shared" si="22"/>
        <v>0</v>
      </c>
      <c r="Z61" s="1043">
        <f t="shared" si="22"/>
        <v>2</v>
      </c>
      <c r="AA61" s="1043">
        <f t="shared" si="22"/>
        <v>1</v>
      </c>
      <c r="AB61" s="1043">
        <f t="shared" si="22"/>
        <v>0</v>
      </c>
      <c r="AC61" s="1043">
        <f t="shared" si="22"/>
        <v>0</v>
      </c>
      <c r="AD61" s="1043">
        <f t="shared" si="22"/>
        <v>2</v>
      </c>
      <c r="AE61" s="1072">
        <f t="shared" si="22"/>
        <v>0</v>
      </c>
      <c r="AF61" s="1071">
        <f t="shared" si="22"/>
        <v>0</v>
      </c>
      <c r="AG61" s="1043">
        <f t="shared" si="22"/>
        <v>0</v>
      </c>
      <c r="AH61" s="1043">
        <f t="shared" si="22"/>
        <v>4</v>
      </c>
      <c r="AI61" s="1043">
        <f t="shared" si="22"/>
        <v>0</v>
      </c>
      <c r="AJ61" s="1043">
        <f t="shared" si="22"/>
        <v>3</v>
      </c>
      <c r="AK61" s="1043">
        <f t="shared" si="22"/>
        <v>1</v>
      </c>
      <c r="AL61" s="1043">
        <f t="shared" si="22"/>
        <v>3</v>
      </c>
      <c r="AM61" s="1043">
        <f t="shared" si="22"/>
        <v>1</v>
      </c>
      <c r="AN61" s="1043">
        <f t="shared" si="22"/>
        <v>2</v>
      </c>
      <c r="AO61" s="1043">
        <f t="shared" si="22"/>
        <v>0</v>
      </c>
      <c r="AP61" s="1043">
        <f t="shared" si="22"/>
        <v>1</v>
      </c>
      <c r="AQ61" s="1043">
        <f t="shared" si="22"/>
        <v>2</v>
      </c>
      <c r="AR61" s="1043">
        <f t="shared" si="22"/>
        <v>4</v>
      </c>
      <c r="AS61" s="1043">
        <f t="shared" si="22"/>
        <v>0</v>
      </c>
      <c r="AT61" s="1043">
        <f t="shared" si="22"/>
        <v>3</v>
      </c>
      <c r="AU61" s="1043">
        <f t="shared" si="22"/>
        <v>0</v>
      </c>
      <c r="AV61" s="1043">
        <f t="shared" si="22"/>
        <v>0</v>
      </c>
      <c r="AW61" s="1043">
        <f t="shared" ref="AW61:BP61" si="23">SUM(AW43:AW60)</f>
        <v>6</v>
      </c>
      <c r="AX61" s="1043">
        <f t="shared" si="23"/>
        <v>0</v>
      </c>
      <c r="AY61" s="1043">
        <f t="shared" si="23"/>
        <v>1</v>
      </c>
      <c r="AZ61" s="1043">
        <f t="shared" si="23"/>
        <v>0</v>
      </c>
      <c r="BA61" s="1043">
        <f t="shared" si="23"/>
        <v>0</v>
      </c>
      <c r="BB61" s="1043">
        <f t="shared" si="23"/>
        <v>0</v>
      </c>
      <c r="BC61" s="1043">
        <f t="shared" si="23"/>
        <v>0</v>
      </c>
      <c r="BD61" s="1043">
        <f t="shared" si="23"/>
        <v>0</v>
      </c>
      <c r="BE61" s="1043">
        <f t="shared" si="23"/>
        <v>0</v>
      </c>
      <c r="BF61" s="1043">
        <f t="shared" si="23"/>
        <v>0</v>
      </c>
      <c r="BG61" s="1072">
        <f t="shared" si="23"/>
        <v>0</v>
      </c>
      <c r="BH61" s="1043">
        <f t="shared" si="23"/>
        <v>11</v>
      </c>
      <c r="BI61" s="1043">
        <f t="shared" si="23"/>
        <v>3</v>
      </c>
      <c r="BJ61" s="1043">
        <f t="shared" si="23"/>
        <v>2</v>
      </c>
      <c r="BK61" s="1043">
        <f t="shared" si="23"/>
        <v>0</v>
      </c>
      <c r="BL61" s="1043">
        <f t="shared" si="23"/>
        <v>3</v>
      </c>
      <c r="BM61" s="1043">
        <f t="shared" si="23"/>
        <v>1</v>
      </c>
      <c r="BN61" s="1043">
        <f t="shared" si="23"/>
        <v>0</v>
      </c>
      <c r="BO61" s="1043">
        <f t="shared" si="23"/>
        <v>0</v>
      </c>
      <c r="BP61" s="1043">
        <f t="shared" si="23"/>
        <v>0</v>
      </c>
    </row>
    <row r="62" spans="1:68" s="44" customFormat="1" ht="30" customHeight="1" x14ac:dyDescent="0.25">
      <c r="A62" s="32">
        <f>Psychologia!A62</f>
        <v>41</v>
      </c>
      <c r="B62" s="127" t="str">
        <f>IF(Psychologia!B62&gt;0,Psychologia!B62," ")</f>
        <v xml:space="preserve"> </v>
      </c>
      <c r="C62" s="128" t="str">
        <f>IF(Psychologia!C62&gt;0,Psychologia!C62," ")</f>
        <v>2026/2027</v>
      </c>
      <c r="D62" s="128" t="str">
        <f>IF(Psychologia!D62&gt;0,Psychologia!D62," ")</f>
        <v xml:space="preserve"> </v>
      </c>
      <c r="E62" s="127">
        <f>IF(Psychologia!E62&gt;0,Psychologia!E62," ")</f>
        <v>3</v>
      </c>
      <c r="F62" s="32" t="str">
        <f>IF(Psychologia!F62&gt;0,Psychologia!F62," ")</f>
        <v>2028/2029</v>
      </c>
      <c r="G62" s="32" t="str">
        <f>IF(Psychologia!G62&gt;0,Psychologia!G62," ")</f>
        <v>RPS</v>
      </c>
      <c r="H62" s="122" t="str">
        <f>IF(Psychologia!H62&gt;0,Psychologia!H62," ")</f>
        <v xml:space="preserve"> </v>
      </c>
      <c r="I62" s="122" t="str">
        <f>IF(Psychologia!I62&gt;0,Psychologia!I62," ")</f>
        <v>Metodologia badań psychologicznych II</v>
      </c>
      <c r="J62" s="365">
        <f>Psychologia!Y62+Psychologia!AV62</f>
        <v>75</v>
      </c>
      <c r="K62" s="366">
        <f>Psychologia!AS62+Psychologia!BP62</f>
        <v>50</v>
      </c>
      <c r="L62" s="367">
        <f>Psychologia!Z62+Psychologia!AW62</f>
        <v>25</v>
      </c>
      <c r="M62" s="368">
        <f>Psychologia!AB62+Psychologia!AD62+Psychologia!AY62+Psychologia!BA62</f>
        <v>15</v>
      </c>
      <c r="N62" s="369">
        <f>Psychologia!AA62+Psychologia!AX62</f>
        <v>25</v>
      </c>
      <c r="O62" s="370">
        <f>Psychologia!X62+Psychologia!AU62</f>
        <v>3</v>
      </c>
      <c r="P62" s="371" t="str">
        <f>IF(Psychologia!V62&gt;0,Psychologia!V62," ")</f>
        <v>egz</v>
      </c>
      <c r="Q62" s="150">
        <f t="shared" ref="Q62:Q79" si="24">SUM(T62:AE62)</f>
        <v>3</v>
      </c>
      <c r="R62" s="135">
        <f>SUM(AF62:BG62)</f>
        <v>3</v>
      </c>
      <c r="S62" s="161">
        <f t="shared" ref="S62:S79" si="25">SUM(BH62:BP62)</f>
        <v>1</v>
      </c>
      <c r="T62" s="132"/>
      <c r="U62" s="131">
        <v>1</v>
      </c>
      <c r="V62" s="131"/>
      <c r="W62" s="131">
        <v>1</v>
      </c>
      <c r="X62" s="131"/>
      <c r="Y62" s="131"/>
      <c r="Z62" s="131">
        <v>1</v>
      </c>
      <c r="AA62" s="131"/>
      <c r="AB62" s="131"/>
      <c r="AC62" s="131"/>
      <c r="AD62" s="131"/>
      <c r="AE62" s="133"/>
      <c r="AF62" s="132"/>
      <c r="AG62" s="131"/>
      <c r="AH62" s="131">
        <v>1</v>
      </c>
      <c r="AI62" s="131"/>
      <c r="AJ62" s="131"/>
      <c r="AK62" s="131"/>
      <c r="AL62" s="131"/>
      <c r="AM62" s="131"/>
      <c r="AN62" s="131"/>
      <c r="AO62" s="131"/>
      <c r="AP62" s="131"/>
      <c r="AQ62" s="131"/>
      <c r="AR62" s="131"/>
      <c r="AS62" s="131"/>
      <c r="AT62" s="131"/>
      <c r="AU62" s="131"/>
      <c r="AV62" s="131"/>
      <c r="AW62" s="131">
        <v>1</v>
      </c>
      <c r="AX62" s="131"/>
      <c r="AY62" s="131"/>
      <c r="AZ62" s="131"/>
      <c r="BA62" s="131"/>
      <c r="BB62" s="131"/>
      <c r="BC62" s="131"/>
      <c r="BD62" s="131"/>
      <c r="BE62" s="131">
        <v>1</v>
      </c>
      <c r="BF62" s="131"/>
      <c r="BG62" s="133"/>
      <c r="BH62" s="131">
        <v>1</v>
      </c>
      <c r="BI62" s="131"/>
      <c r="BJ62" s="131"/>
      <c r="BK62" s="131"/>
      <c r="BL62" s="131"/>
      <c r="BM62" s="131"/>
      <c r="BN62" s="131"/>
      <c r="BO62" s="131"/>
      <c r="BP62" s="131"/>
    </row>
    <row r="63" spans="1:68" s="44" customFormat="1" ht="30" customHeight="1" x14ac:dyDescent="0.25">
      <c r="A63" s="32">
        <f>Psychologia!A63</f>
        <v>42</v>
      </c>
      <c r="B63" s="127" t="str">
        <f>IF(Psychologia!B63&gt;0,Psychologia!B63," ")</f>
        <v xml:space="preserve"> </v>
      </c>
      <c r="C63" s="128" t="str">
        <f>IF(Psychologia!C63&gt;0,Psychologia!C63," ")</f>
        <v>2026/2027</v>
      </c>
      <c r="D63" s="128" t="str">
        <f>IF(Psychologia!D63&gt;0,Psychologia!D63," ")</f>
        <v xml:space="preserve"> </v>
      </c>
      <c r="E63" s="127">
        <f>IF(Psychologia!E63&gt;0,Psychologia!E63," ")</f>
        <v>3</v>
      </c>
      <c r="F63" s="32" t="str">
        <f>IF(Psychologia!F63&gt;0,Psychologia!F63," ")</f>
        <v>2028/2029</v>
      </c>
      <c r="G63" s="32" t="str">
        <f>IF(Psychologia!G63&gt;0,Psychologia!G63," ")</f>
        <v>RPS</v>
      </c>
      <c r="H63" s="122" t="str">
        <f>IF(Psychologia!H63&gt;0,Psychologia!H63," ")</f>
        <v xml:space="preserve"> </v>
      </c>
      <c r="I63" s="122" t="str">
        <f>IF(Psychologia!I63&gt;0,Psychologia!I63," ")</f>
        <v>Neuropsychologia</v>
      </c>
      <c r="J63" s="365">
        <f>Psychologia!Y63+Psychologia!AV63</f>
        <v>75</v>
      </c>
      <c r="K63" s="366">
        <f>Psychologia!AS63+Psychologia!BP63</f>
        <v>15</v>
      </c>
      <c r="L63" s="367">
        <f>Psychologia!Z63+Psychologia!AW63</f>
        <v>60</v>
      </c>
      <c r="M63" s="368">
        <f>Psychologia!AB63+Psychologia!AD63+Psychologia!AY63+Psychologia!BA63</f>
        <v>10</v>
      </c>
      <c r="N63" s="369">
        <f>Psychologia!AA63+Psychologia!AX63</f>
        <v>60</v>
      </c>
      <c r="O63" s="370">
        <f>Psychologia!X63+Psychologia!AU63</f>
        <v>3</v>
      </c>
      <c r="P63" s="371" t="str">
        <f>IF(Psychologia!V63&gt;0,Psychologia!V63," ")</f>
        <v>egz</v>
      </c>
      <c r="Q63" s="150">
        <f t="shared" si="24"/>
        <v>2</v>
      </c>
      <c r="R63" s="135">
        <f t="shared" ref="R63:R79" si="26">SUM(AF63:BG63)</f>
        <v>4</v>
      </c>
      <c r="S63" s="161">
        <f t="shared" si="25"/>
        <v>2</v>
      </c>
      <c r="T63" s="132"/>
      <c r="U63" s="131">
        <v>1</v>
      </c>
      <c r="V63" s="131"/>
      <c r="W63" s="131"/>
      <c r="X63" s="131"/>
      <c r="Y63" s="131"/>
      <c r="Z63" s="131"/>
      <c r="AA63" s="131">
        <v>1</v>
      </c>
      <c r="AB63" s="131"/>
      <c r="AC63" s="131"/>
      <c r="AD63" s="131"/>
      <c r="AE63" s="133"/>
      <c r="AF63" s="132">
        <v>1</v>
      </c>
      <c r="AG63" s="131">
        <v>1</v>
      </c>
      <c r="AH63" s="131"/>
      <c r="AI63" s="131"/>
      <c r="AJ63" s="131"/>
      <c r="AK63" s="131"/>
      <c r="AL63" s="131"/>
      <c r="AM63" s="131"/>
      <c r="AN63" s="131"/>
      <c r="AO63" s="131">
        <v>1</v>
      </c>
      <c r="AP63" s="131"/>
      <c r="AQ63" s="131"/>
      <c r="AR63" s="131"/>
      <c r="AS63" s="131"/>
      <c r="AT63" s="131"/>
      <c r="AU63" s="131"/>
      <c r="AV63" s="131"/>
      <c r="AW63" s="131"/>
      <c r="AX63" s="131"/>
      <c r="AY63" s="131"/>
      <c r="AZ63" s="131"/>
      <c r="BA63" s="131">
        <v>1</v>
      </c>
      <c r="BB63" s="131"/>
      <c r="BC63" s="131"/>
      <c r="BD63" s="131"/>
      <c r="BE63" s="131"/>
      <c r="BF63" s="131"/>
      <c r="BG63" s="133"/>
      <c r="BH63" s="131"/>
      <c r="BI63" s="131">
        <v>1</v>
      </c>
      <c r="BJ63" s="131">
        <v>1</v>
      </c>
      <c r="BK63" s="131"/>
      <c r="BL63" s="131"/>
      <c r="BM63" s="131"/>
      <c r="BN63" s="131"/>
      <c r="BO63" s="131"/>
      <c r="BP63" s="131"/>
    </row>
    <row r="64" spans="1:68" s="44" customFormat="1" ht="30" customHeight="1" x14ac:dyDescent="0.25">
      <c r="A64" s="32">
        <f>Psychologia!A64</f>
        <v>43</v>
      </c>
      <c r="B64" s="127" t="str">
        <f>IF(Psychologia!B64&gt;0,Psychologia!B64," ")</f>
        <v xml:space="preserve"> </v>
      </c>
      <c r="C64" s="128" t="str">
        <f>IF(Psychologia!C64&gt;0,Psychologia!C64," ")</f>
        <v>2026/2027</v>
      </c>
      <c r="D64" s="128" t="str">
        <f>IF(Psychologia!D64&gt;0,Psychologia!D64," ")</f>
        <v xml:space="preserve"> </v>
      </c>
      <c r="E64" s="127">
        <f>IF(Psychologia!E64&gt;0,Psychologia!E64," ")</f>
        <v>3</v>
      </c>
      <c r="F64" s="32" t="str">
        <f>IF(Psychologia!F64&gt;0,Psychologia!F64," ")</f>
        <v>2028/2029</v>
      </c>
      <c r="G64" s="32" t="str">
        <f>IF(Psychologia!G64&gt;0,Psychologia!G64," ")</f>
        <v>RPS</v>
      </c>
      <c r="H64" s="122" t="str">
        <f>IF(Psychologia!H64&gt;0,Psychologia!H64," ")</f>
        <v xml:space="preserve"> </v>
      </c>
      <c r="I64" s="122" t="str">
        <f>IF(Psychologia!I64&gt;0,Psychologia!I64," ")</f>
        <v xml:space="preserve">Podstawy neurologii </v>
      </c>
      <c r="J64" s="365">
        <f>Psychologia!Y64+Psychologia!AV64</f>
        <v>100</v>
      </c>
      <c r="K64" s="366">
        <f>Psychologia!AS64+Psychologia!BP64</f>
        <v>55</v>
      </c>
      <c r="L64" s="367">
        <f>Psychologia!Z64+Psychologia!AW64</f>
        <v>45</v>
      </c>
      <c r="M64" s="368">
        <f>Psychologia!AB64+Psychologia!AD64+Psychologia!AY64+Psychologia!BA64</f>
        <v>5</v>
      </c>
      <c r="N64" s="369">
        <f>Psychologia!AA64+Psychologia!AX64</f>
        <v>45</v>
      </c>
      <c r="O64" s="370">
        <f>Psychologia!X64+Psychologia!AU64</f>
        <v>4</v>
      </c>
      <c r="P64" s="371" t="str">
        <f>IF(Psychologia!V64&gt;0,Psychologia!V64," ")</f>
        <v>zal/o</v>
      </c>
      <c r="Q64" s="150">
        <f t="shared" si="24"/>
        <v>1</v>
      </c>
      <c r="R64" s="135">
        <f t="shared" si="26"/>
        <v>4</v>
      </c>
      <c r="S64" s="161">
        <f t="shared" si="25"/>
        <v>1</v>
      </c>
      <c r="T64" s="132"/>
      <c r="U64" s="131"/>
      <c r="V64" s="131"/>
      <c r="W64" s="131"/>
      <c r="X64" s="131"/>
      <c r="Y64" s="131"/>
      <c r="Z64" s="131"/>
      <c r="AA64" s="131">
        <v>1</v>
      </c>
      <c r="AB64" s="131"/>
      <c r="AC64" s="131"/>
      <c r="AD64" s="131"/>
      <c r="AE64" s="133"/>
      <c r="AF64" s="132"/>
      <c r="AG64" s="131"/>
      <c r="AH64" s="131"/>
      <c r="AI64" s="131"/>
      <c r="AJ64" s="131"/>
      <c r="AK64" s="131"/>
      <c r="AL64" s="131"/>
      <c r="AM64" s="131"/>
      <c r="AN64" s="131"/>
      <c r="AO64" s="131"/>
      <c r="AP64" s="131"/>
      <c r="AQ64" s="131"/>
      <c r="AR64" s="131"/>
      <c r="AS64" s="131">
        <v>1</v>
      </c>
      <c r="AT64" s="131"/>
      <c r="AU64" s="131"/>
      <c r="AV64" s="131"/>
      <c r="AW64" s="131"/>
      <c r="AX64" s="131"/>
      <c r="AY64" s="131"/>
      <c r="AZ64" s="131">
        <v>1</v>
      </c>
      <c r="BA64" s="131">
        <v>1</v>
      </c>
      <c r="BB64" s="131">
        <v>1</v>
      </c>
      <c r="BC64" s="131"/>
      <c r="BD64" s="131"/>
      <c r="BE64" s="131"/>
      <c r="BF64" s="131"/>
      <c r="BG64" s="133"/>
      <c r="BH64" s="131"/>
      <c r="BI64" s="131"/>
      <c r="BJ64" s="131"/>
      <c r="BK64" s="131"/>
      <c r="BL64" s="131">
        <v>1</v>
      </c>
      <c r="BM64" s="131"/>
      <c r="BN64" s="131"/>
      <c r="BO64" s="131"/>
      <c r="BP64" s="131"/>
    </row>
    <row r="65" spans="1:68" s="44" customFormat="1" ht="47.25" customHeight="1" x14ac:dyDescent="0.25">
      <c r="A65" s="32">
        <f>Psychologia!A65</f>
        <v>44</v>
      </c>
      <c r="B65" s="127" t="str">
        <f>IF(Psychologia!B65&gt;0,Psychologia!B65," ")</f>
        <v xml:space="preserve"> </v>
      </c>
      <c r="C65" s="128" t="str">
        <f>IF(Psychologia!C65&gt;0,Psychologia!C65," ")</f>
        <v>2026/2027</v>
      </c>
      <c r="D65" s="128" t="str">
        <f>IF(Psychologia!D65&gt;0,Psychologia!D65," ")</f>
        <v xml:space="preserve"> </v>
      </c>
      <c r="E65" s="127">
        <f>IF(Psychologia!E65&gt;0,Psychologia!E65," ")</f>
        <v>3</v>
      </c>
      <c r="F65" s="32" t="str">
        <f>IF(Psychologia!F65&gt;0,Psychologia!F65," ")</f>
        <v>2028/2029</v>
      </c>
      <c r="G65" s="32" t="str">
        <f>IF(Psychologia!G65&gt;0,Psychologia!G65," ")</f>
        <v>RPS</v>
      </c>
      <c r="H65" s="122" t="str">
        <f>IF(Psychologia!H65&gt;0,Psychologia!H65," ")</f>
        <v xml:space="preserve"> </v>
      </c>
      <c r="I65" s="604" t="str">
        <f>IF(Psychologia!I65&gt;0,Psychologia!I65," ")</f>
        <v>Praktyki zawodowe w zakresie psychologicznej diagnozy i terapii chorób somatycznych</v>
      </c>
      <c r="J65" s="365">
        <f>Psychologia!Y65+Psychologia!AV65</f>
        <v>160</v>
      </c>
      <c r="K65" s="366">
        <f>Psychologia!AS65+Psychologia!BP65</f>
        <v>0</v>
      </c>
      <c r="L65" s="367">
        <f>Psychologia!Z65+Psychologia!AW65</f>
        <v>160</v>
      </c>
      <c r="M65" s="368">
        <f>Psychologia!AB65+Psychologia!AD65+Psychologia!AY65+Psychologia!BA65</f>
        <v>0</v>
      </c>
      <c r="N65" s="369">
        <f>Psychologia!AA65+Psychologia!AX65</f>
        <v>160</v>
      </c>
      <c r="O65" s="370">
        <f>Psychologia!X65+Psychologia!AU65</f>
        <v>6</v>
      </c>
      <c r="P65" s="371" t="str">
        <f>IF(Psychologia!V65&gt;0,Psychologia!V65," ")</f>
        <v>zal/o</v>
      </c>
      <c r="Q65" s="150">
        <f t="shared" si="24"/>
        <v>0</v>
      </c>
      <c r="R65" s="135">
        <f t="shared" si="26"/>
        <v>10</v>
      </c>
      <c r="S65" s="161">
        <f t="shared" si="25"/>
        <v>1</v>
      </c>
      <c r="T65" s="132"/>
      <c r="U65" s="131"/>
      <c r="V65" s="131"/>
      <c r="W65" s="131"/>
      <c r="X65" s="131"/>
      <c r="Y65" s="131"/>
      <c r="Z65" s="131"/>
      <c r="AA65" s="131"/>
      <c r="AB65" s="131"/>
      <c r="AC65" s="131"/>
      <c r="AD65" s="131"/>
      <c r="AE65" s="133"/>
      <c r="AF65" s="132">
        <v>1</v>
      </c>
      <c r="AG65" s="131">
        <v>1</v>
      </c>
      <c r="AH65" s="131"/>
      <c r="AI65" s="131"/>
      <c r="AJ65" s="131"/>
      <c r="AK65" s="131"/>
      <c r="AL65" s="131"/>
      <c r="AM65" s="131"/>
      <c r="AN65" s="131"/>
      <c r="AO65" s="131">
        <v>1</v>
      </c>
      <c r="AP65" s="131"/>
      <c r="AQ65" s="131"/>
      <c r="AR65" s="131"/>
      <c r="AS65" s="131">
        <v>1</v>
      </c>
      <c r="AT65" s="131">
        <v>1</v>
      </c>
      <c r="AU65" s="131">
        <v>1</v>
      </c>
      <c r="AV65" s="131"/>
      <c r="AW65" s="131"/>
      <c r="AX65" s="131"/>
      <c r="AY65" s="131">
        <v>1</v>
      </c>
      <c r="AZ65" s="131">
        <v>1</v>
      </c>
      <c r="BA65" s="131"/>
      <c r="BB65" s="131"/>
      <c r="BC65" s="131">
        <v>1</v>
      </c>
      <c r="BD65" s="131">
        <v>1</v>
      </c>
      <c r="BE65" s="131"/>
      <c r="BF65" s="131"/>
      <c r="BG65" s="133"/>
      <c r="BH65" s="131"/>
      <c r="BI65" s="131"/>
      <c r="BJ65" s="131"/>
      <c r="BK65" s="131">
        <v>1</v>
      </c>
      <c r="BL65" s="131"/>
      <c r="BM65" s="131"/>
      <c r="BN65" s="131"/>
      <c r="BO65" s="131"/>
      <c r="BP65" s="131"/>
    </row>
    <row r="66" spans="1:68" s="44" customFormat="1" ht="47.25" customHeight="1" x14ac:dyDescent="0.25">
      <c r="A66" s="32">
        <f>Psychologia!A66</f>
        <v>45</v>
      </c>
      <c r="B66" s="127" t="str">
        <f>IF(Psychologia!B66&gt;0,Psychologia!B66," ")</f>
        <v xml:space="preserve"> </v>
      </c>
      <c r="C66" s="128" t="str">
        <f>IF(Psychologia!C66&gt;0,Psychologia!C66," ")</f>
        <v>2026/2027</v>
      </c>
      <c r="D66" s="128" t="str">
        <f>IF(Psychologia!D66&gt;0,Psychologia!D66," ")</f>
        <v xml:space="preserve"> </v>
      </c>
      <c r="E66" s="127">
        <f>IF(Psychologia!E66&gt;0,Psychologia!E66," ")</f>
        <v>3</v>
      </c>
      <c r="F66" s="32" t="str">
        <f>IF(Psychologia!F66&gt;0,Psychologia!F66," ")</f>
        <v>2028/2029</v>
      </c>
      <c r="G66" s="32" t="str">
        <f>IF(Psychologia!G66&gt;0,Psychologia!G66," ")</f>
        <v>RPS</v>
      </c>
      <c r="H66" s="122" t="str">
        <f>IF(Psychologia!H66&gt;0,Psychologia!H66," ")</f>
        <v xml:space="preserve"> </v>
      </c>
      <c r="I66" s="604" t="str">
        <f>IF(Psychologia!I66&gt;0,Psychologia!I66," ")</f>
        <v>Praktyki zawodowe w zakresie klinicznej diagnozy psychologicznej dorosłych</v>
      </c>
      <c r="J66" s="365">
        <f>Psychologia!Y66+Psychologia!AV66</f>
        <v>160</v>
      </c>
      <c r="K66" s="366">
        <f>Psychologia!AS66+Psychologia!BP66</f>
        <v>0</v>
      </c>
      <c r="L66" s="367">
        <f>Psychologia!Z66+Psychologia!AW66</f>
        <v>160</v>
      </c>
      <c r="M66" s="368">
        <f>Psychologia!AB66+Psychologia!AD66+Psychologia!AY66+Psychologia!BA66</f>
        <v>0</v>
      </c>
      <c r="N66" s="369">
        <f>Psychologia!AA66+Psychologia!AX66</f>
        <v>160</v>
      </c>
      <c r="O66" s="370">
        <f>Psychologia!X66+Psychologia!AU66</f>
        <v>6</v>
      </c>
      <c r="P66" s="371" t="str">
        <f>IF(Psychologia!V66&gt;0,Psychologia!V66," ")</f>
        <v>zal/o</v>
      </c>
      <c r="Q66" s="150">
        <f t="shared" si="24"/>
        <v>0</v>
      </c>
      <c r="R66" s="135">
        <f t="shared" si="26"/>
        <v>11</v>
      </c>
      <c r="S66" s="161">
        <f t="shared" si="25"/>
        <v>1</v>
      </c>
      <c r="T66" s="132"/>
      <c r="U66" s="131"/>
      <c r="V66" s="131"/>
      <c r="W66" s="131"/>
      <c r="X66" s="131"/>
      <c r="Y66" s="131"/>
      <c r="Z66" s="131"/>
      <c r="AA66" s="131"/>
      <c r="AB66" s="131"/>
      <c r="AC66" s="131"/>
      <c r="AD66" s="131"/>
      <c r="AE66" s="133"/>
      <c r="AF66" s="132">
        <v>1</v>
      </c>
      <c r="AG66" s="131">
        <v>1</v>
      </c>
      <c r="AH66" s="131"/>
      <c r="AI66" s="131"/>
      <c r="AJ66" s="131"/>
      <c r="AK66" s="131"/>
      <c r="AL66" s="131"/>
      <c r="AM66" s="131">
        <v>1</v>
      </c>
      <c r="AN66" s="131"/>
      <c r="AO66" s="131">
        <v>1</v>
      </c>
      <c r="AP66" s="131"/>
      <c r="AQ66" s="131"/>
      <c r="AR66" s="131"/>
      <c r="AS66" s="131">
        <v>1</v>
      </c>
      <c r="AT66" s="131">
        <v>1</v>
      </c>
      <c r="AU66" s="131">
        <v>1</v>
      </c>
      <c r="AV66" s="131"/>
      <c r="AW66" s="131"/>
      <c r="AX66" s="131"/>
      <c r="AY66" s="131">
        <v>1</v>
      </c>
      <c r="AZ66" s="131">
        <v>1</v>
      </c>
      <c r="BA66" s="131"/>
      <c r="BB66" s="131"/>
      <c r="BC66" s="131">
        <v>1</v>
      </c>
      <c r="BD66" s="131">
        <v>1</v>
      </c>
      <c r="BE66" s="131"/>
      <c r="BF66" s="131"/>
      <c r="BG66" s="133"/>
      <c r="BH66" s="131"/>
      <c r="BI66" s="131"/>
      <c r="BJ66" s="131"/>
      <c r="BK66" s="131">
        <v>1</v>
      </c>
      <c r="BL66" s="131"/>
      <c r="BM66" s="131"/>
      <c r="BN66" s="131"/>
      <c r="BO66" s="131"/>
      <c r="BP66" s="131"/>
    </row>
    <row r="67" spans="1:68" s="44" customFormat="1" ht="43.5" customHeight="1" x14ac:dyDescent="0.25">
      <c r="A67" s="32">
        <f>Psychologia!A67</f>
        <v>46</v>
      </c>
      <c r="B67" s="127" t="str">
        <f>IF(Psychologia!B67&gt;0,Psychologia!B67," ")</f>
        <v xml:space="preserve"> </v>
      </c>
      <c r="C67" s="128" t="str">
        <f>IF(Psychologia!C67&gt;0,Psychologia!C67," ")</f>
        <v>2026/2027</v>
      </c>
      <c r="D67" s="128" t="str">
        <f>IF(Psychologia!D67&gt;0,Psychologia!D67," ")</f>
        <v xml:space="preserve"> </v>
      </c>
      <c r="E67" s="127">
        <f>IF(Psychologia!E67&gt;0,Psychologia!E67," ")</f>
        <v>3</v>
      </c>
      <c r="F67" s="32" t="str">
        <f>IF(Psychologia!F67&gt;0,Psychologia!F67," ")</f>
        <v>2028/2029</v>
      </c>
      <c r="G67" s="32" t="str">
        <f>IF(Psychologia!G67&gt;0,Psychologia!G67," ")</f>
        <v>POW</v>
      </c>
      <c r="H67" s="122" t="str">
        <f>IF(Psychologia!H67&gt;0,Psychologia!H67," ")</f>
        <v xml:space="preserve"> </v>
      </c>
      <c r="I67" s="122" t="str">
        <f>IF(Psychologia!I67&gt;0,Psychologia!I67," ")</f>
        <v>Projekt badawczy grupowy- psychologia zdrowia / psychologia kliniczna</v>
      </c>
      <c r="J67" s="365">
        <f>Psychologia!Y67+Psychologia!AV67</f>
        <v>50</v>
      </c>
      <c r="K67" s="366">
        <f>Psychologia!AS67+Psychologia!BP67</f>
        <v>40</v>
      </c>
      <c r="L67" s="367">
        <f>Psychologia!Z67+Psychologia!AW67</f>
        <v>10</v>
      </c>
      <c r="M67" s="368">
        <f>Psychologia!AB67+Psychologia!AD67+Psychologia!AY67+Psychologia!BA67</f>
        <v>0</v>
      </c>
      <c r="N67" s="369">
        <f>Psychologia!AA67+Psychologia!AX67</f>
        <v>10</v>
      </c>
      <c r="O67" s="370">
        <f>Psychologia!X67+Psychologia!AU67</f>
        <v>2</v>
      </c>
      <c r="P67" s="371" t="str">
        <f>IF(Psychologia!V67&gt;0,Psychologia!V67," ")</f>
        <v>zal/o</v>
      </c>
      <c r="Q67" s="150">
        <f t="shared" si="24"/>
        <v>2</v>
      </c>
      <c r="R67" s="135">
        <f t="shared" si="26"/>
        <v>5</v>
      </c>
      <c r="S67" s="161">
        <f t="shared" si="25"/>
        <v>2</v>
      </c>
      <c r="T67" s="132"/>
      <c r="U67" s="131"/>
      <c r="V67" s="131"/>
      <c r="W67" s="131">
        <v>1</v>
      </c>
      <c r="X67" s="131"/>
      <c r="Y67" s="131"/>
      <c r="Z67" s="131">
        <v>1</v>
      </c>
      <c r="AA67" s="131"/>
      <c r="AB67" s="131"/>
      <c r="AC67" s="131"/>
      <c r="AD67" s="131"/>
      <c r="AE67" s="133"/>
      <c r="AF67" s="132"/>
      <c r="AG67" s="131"/>
      <c r="AH67" s="131">
        <v>1</v>
      </c>
      <c r="AI67" s="131"/>
      <c r="AJ67" s="131"/>
      <c r="AK67" s="131"/>
      <c r="AL67" s="131"/>
      <c r="AM67" s="131">
        <v>1</v>
      </c>
      <c r="AN67" s="131"/>
      <c r="AO67" s="131"/>
      <c r="AP67" s="131"/>
      <c r="AQ67" s="131"/>
      <c r="AR67" s="131"/>
      <c r="AS67" s="131"/>
      <c r="AT67" s="131"/>
      <c r="AU67" s="131"/>
      <c r="AV67" s="131"/>
      <c r="AW67" s="131"/>
      <c r="AX67" s="131"/>
      <c r="AY67" s="131">
        <v>1</v>
      </c>
      <c r="AZ67" s="131"/>
      <c r="BA67" s="131"/>
      <c r="BB67" s="131"/>
      <c r="BC67" s="131"/>
      <c r="BD67" s="131"/>
      <c r="BE67" s="131">
        <v>1</v>
      </c>
      <c r="BF67" s="131">
        <v>1</v>
      </c>
      <c r="BG67" s="133"/>
      <c r="BH67" s="131">
        <v>1</v>
      </c>
      <c r="BI67" s="131"/>
      <c r="BJ67" s="131"/>
      <c r="BK67" s="131"/>
      <c r="BL67" s="131"/>
      <c r="BM67" s="131"/>
      <c r="BN67" s="131"/>
      <c r="BO67" s="131"/>
      <c r="BP67" s="131">
        <v>1</v>
      </c>
    </row>
    <row r="68" spans="1:68" s="44" customFormat="1" ht="47.25" x14ac:dyDescent="0.25">
      <c r="A68" s="32">
        <f>Psychologia!A68</f>
        <v>47</v>
      </c>
      <c r="B68" s="127" t="str">
        <f>IF(Psychologia!B68&gt;0,Psychologia!B68," ")</f>
        <v xml:space="preserve"> </v>
      </c>
      <c r="C68" s="128" t="str">
        <f>IF(Psychologia!C68&gt;0,Psychologia!C68," ")</f>
        <v>2026/2027</v>
      </c>
      <c r="D68" s="128" t="str">
        <f>IF(Psychologia!D68&gt;0,Psychologia!D68," ")</f>
        <v xml:space="preserve"> </v>
      </c>
      <c r="E68" s="127">
        <f>IF(Psychologia!E68&gt;0,Psychologia!E68," ")</f>
        <v>3</v>
      </c>
      <c r="F68" s="32" t="str">
        <f>IF(Psychologia!F68&gt;0,Psychologia!F68," ")</f>
        <v>2028/2029</v>
      </c>
      <c r="G68" s="32" t="str">
        <f>IF(Psychologia!G68&gt;0,Psychologia!G68," ")</f>
        <v>POW</v>
      </c>
      <c r="H68" s="122" t="str">
        <f>IF(Psychologia!H68&gt;0,Psychologia!H68," ")</f>
        <v xml:space="preserve"> </v>
      </c>
      <c r="I68" s="599" t="str">
        <f>IF(Psychologia!I68&gt;0,Psychologia!I68," ")</f>
        <v>Przedmiot fakultatywny 5: Zaburzenia neurorozwojowe / Psychologia kryminalna</v>
      </c>
      <c r="J68" s="365">
        <f>Psychologia!Y68+Psychologia!AV68</f>
        <v>50</v>
      </c>
      <c r="K68" s="366">
        <f>Psychologia!AS68+Psychologia!BP68</f>
        <v>10</v>
      </c>
      <c r="L68" s="367">
        <f>Psychologia!Z68+Psychologia!AW68</f>
        <v>40</v>
      </c>
      <c r="M68" s="368">
        <f>Psychologia!AB68+Psychologia!AD68+Psychologia!AY68+Psychologia!BA68</f>
        <v>0</v>
      </c>
      <c r="N68" s="369">
        <f>Psychologia!AA68+Psychologia!AX68</f>
        <v>40</v>
      </c>
      <c r="O68" s="370">
        <f>Psychologia!X68+Psychologia!AU68</f>
        <v>2</v>
      </c>
      <c r="P68" s="371" t="str">
        <f>IF(Psychologia!V68&gt;0,Psychologia!V68," ")</f>
        <v>zal/o</v>
      </c>
      <c r="Q68" s="150">
        <f t="shared" si="24"/>
        <v>0</v>
      </c>
      <c r="R68" s="135">
        <f t="shared" si="26"/>
        <v>0</v>
      </c>
      <c r="S68" s="161">
        <f t="shared" si="25"/>
        <v>0</v>
      </c>
      <c r="T68" s="132"/>
      <c r="U68" s="131"/>
      <c r="V68" s="131"/>
      <c r="W68" s="131"/>
      <c r="X68" s="131"/>
      <c r="Y68" s="131"/>
      <c r="Z68" s="131"/>
      <c r="AA68" s="131"/>
      <c r="AB68" s="131"/>
      <c r="AC68" s="131"/>
      <c r="AD68" s="131"/>
      <c r="AE68" s="133"/>
      <c r="AF68" s="132"/>
      <c r="AG68" s="131"/>
      <c r="AH68" s="131"/>
      <c r="AI68" s="131"/>
      <c r="AJ68" s="131"/>
      <c r="AK68" s="131"/>
      <c r="AL68" s="131"/>
      <c r="AM68" s="131"/>
      <c r="AN68" s="131"/>
      <c r="AO68" s="131"/>
      <c r="AP68" s="131"/>
      <c r="AQ68" s="131"/>
      <c r="AR68" s="131"/>
      <c r="AS68" s="131"/>
      <c r="AT68" s="131"/>
      <c r="AU68" s="131"/>
      <c r="AV68" s="131"/>
      <c r="AW68" s="131"/>
      <c r="AX68" s="131"/>
      <c r="AY68" s="131"/>
      <c r="AZ68" s="131"/>
      <c r="BA68" s="131"/>
      <c r="BB68" s="131"/>
      <c r="BC68" s="131"/>
      <c r="BD68" s="131"/>
      <c r="BE68" s="131"/>
      <c r="BF68" s="131"/>
      <c r="BG68" s="133"/>
      <c r="BH68" s="131"/>
      <c r="BI68" s="131"/>
      <c r="BJ68" s="131"/>
      <c r="BK68" s="131"/>
      <c r="BL68" s="131"/>
      <c r="BM68" s="131"/>
      <c r="BN68" s="131"/>
      <c r="BO68" s="131"/>
      <c r="BP68" s="131"/>
    </row>
    <row r="69" spans="1:68" s="44" customFormat="1" ht="63" x14ac:dyDescent="0.25">
      <c r="A69" s="32">
        <f>Psychologia!A69</f>
        <v>48</v>
      </c>
      <c r="B69" s="127" t="str">
        <f>IF(Psychologia!B69&gt;0,Psychologia!B69," ")</f>
        <v xml:space="preserve"> </v>
      </c>
      <c r="C69" s="128" t="str">
        <f>IF(Psychologia!C69&gt;0,Psychologia!C69," ")</f>
        <v>2026/2027</v>
      </c>
      <c r="D69" s="128" t="str">
        <f>IF(Psychologia!D69&gt;0,Psychologia!D69," ")</f>
        <v xml:space="preserve"> </v>
      </c>
      <c r="E69" s="127">
        <v>3</v>
      </c>
      <c r="F69" s="32" t="s">
        <v>459</v>
      </c>
      <c r="G69" s="32" t="s">
        <v>60</v>
      </c>
      <c r="H69" s="122" t="str">
        <f>IF(Psychologia!H69&gt;0,Psychologia!H69," ")</f>
        <v xml:space="preserve"> </v>
      </c>
      <c r="I69" s="599" t="str">
        <f>IF(Psychologia!I69&gt;0,Psychologia!I69," ")</f>
        <v>Przedmiot fakultatywny 6: Podstawy uczenia maszynowego i sieci neuronowych / Psychologia człowieka w świecie AI</v>
      </c>
      <c r="J69" s="365">
        <f>Psychologia!Y69+Psychologia!AV69</f>
        <v>50</v>
      </c>
      <c r="K69" s="366">
        <f>Psychologia!AS69+Psychologia!BP69</f>
        <v>10</v>
      </c>
      <c r="L69" s="367">
        <f>Psychologia!Z69+Psychologia!AW69</f>
        <v>40</v>
      </c>
      <c r="M69" s="368">
        <f>Psychologia!AB69+Psychologia!AD69+Psychologia!AY69+Psychologia!BA69</f>
        <v>10</v>
      </c>
      <c r="N69" s="369">
        <f>Psychologia!AA69+Psychologia!AX69</f>
        <v>40</v>
      </c>
      <c r="O69" s="370">
        <f>Psychologia!X69+Psychologia!AU69</f>
        <v>2</v>
      </c>
      <c r="P69" s="371" t="str">
        <f>IF(Psychologia!V69&gt;0,Psychologia!V69," ")</f>
        <v>zal/o</v>
      </c>
      <c r="Q69" s="150">
        <f t="shared" si="24"/>
        <v>0</v>
      </c>
      <c r="R69" s="135">
        <f t="shared" si="26"/>
        <v>0</v>
      </c>
      <c r="S69" s="161">
        <f t="shared" si="25"/>
        <v>0</v>
      </c>
      <c r="T69" s="132"/>
      <c r="U69" s="131"/>
      <c r="V69" s="131"/>
      <c r="W69" s="131"/>
      <c r="X69" s="131"/>
      <c r="Y69" s="131"/>
      <c r="Z69" s="131"/>
      <c r="AA69" s="131"/>
      <c r="AB69" s="131"/>
      <c r="AC69" s="131"/>
      <c r="AD69" s="131"/>
      <c r="AE69" s="133"/>
      <c r="AF69" s="132"/>
      <c r="AG69" s="131"/>
      <c r="AH69" s="131"/>
      <c r="AI69" s="131"/>
      <c r="AJ69" s="131"/>
      <c r="AK69" s="131"/>
      <c r="AL69" s="131"/>
      <c r="AM69" s="131"/>
      <c r="AN69" s="131"/>
      <c r="AO69" s="131"/>
      <c r="AP69" s="131"/>
      <c r="AQ69" s="131"/>
      <c r="AR69" s="131"/>
      <c r="AS69" s="131"/>
      <c r="AT69" s="131"/>
      <c r="AU69" s="131"/>
      <c r="AV69" s="131"/>
      <c r="AW69" s="131"/>
      <c r="AX69" s="131"/>
      <c r="AY69" s="131"/>
      <c r="AZ69" s="131"/>
      <c r="BA69" s="131"/>
      <c r="BB69" s="131"/>
      <c r="BC69" s="131"/>
      <c r="BD69" s="131"/>
      <c r="BE69" s="131"/>
      <c r="BF69" s="131"/>
      <c r="BG69" s="133"/>
      <c r="BH69" s="131"/>
      <c r="BI69" s="131"/>
      <c r="BJ69" s="131"/>
      <c r="BK69" s="131"/>
      <c r="BL69" s="131"/>
      <c r="BM69" s="131"/>
      <c r="BN69" s="131"/>
      <c r="BO69" s="131"/>
      <c r="BP69" s="131"/>
    </row>
    <row r="70" spans="1:68" s="44" customFormat="1" ht="30" customHeight="1" x14ac:dyDescent="0.25">
      <c r="A70" s="32">
        <f>Psychologia!A70</f>
        <v>49</v>
      </c>
      <c r="B70" s="127" t="str">
        <f>IF(Psychologia!B70&gt;0,Psychologia!B70," ")</f>
        <v xml:space="preserve"> </v>
      </c>
      <c r="C70" s="128" t="str">
        <f>IF(Psychologia!C70&gt;0,Psychologia!C70," ")</f>
        <v>2026/2027</v>
      </c>
      <c r="D70" s="128" t="str">
        <f>IF(Psychologia!D70&gt;0,Psychologia!D70," ")</f>
        <v xml:space="preserve"> </v>
      </c>
      <c r="E70" s="127">
        <f>IF(Psychologia!E70&gt;0,Psychologia!E70," ")</f>
        <v>3</v>
      </c>
      <c r="F70" s="32" t="str">
        <f>IF(Psychologia!F70&gt;0,Psychologia!F70," ")</f>
        <v>2028/2029</v>
      </c>
      <c r="G70" s="32" t="str">
        <f>IF(Psychologia!G70&gt;0,Psychologia!G70," ")</f>
        <v>RPS</v>
      </c>
      <c r="H70" s="122" t="str">
        <f>IF(Psychologia!H70&gt;0,Psychologia!H70," ")</f>
        <v xml:space="preserve"> </v>
      </c>
      <c r="I70" s="122" t="str">
        <f>IF(Psychologia!I70&gt;0,Psychologia!I70," ")</f>
        <v>Psychologia kliniczna dorosłych</v>
      </c>
      <c r="J70" s="365">
        <f>Psychologia!Y70+Psychologia!AV70</f>
        <v>125</v>
      </c>
      <c r="K70" s="366">
        <f>Psychologia!AS70+Psychologia!BP70</f>
        <v>50</v>
      </c>
      <c r="L70" s="367">
        <f>Psychologia!Z70+Psychologia!AW70</f>
        <v>75</v>
      </c>
      <c r="M70" s="368">
        <f>Psychologia!AB70+Psychologia!AD70+Psychologia!AY70+Psychologia!BA70</f>
        <v>10</v>
      </c>
      <c r="N70" s="369">
        <f>Psychologia!AA70+Psychologia!AX70</f>
        <v>75</v>
      </c>
      <c r="O70" s="370">
        <f>Psychologia!X70+Psychologia!AU70</f>
        <v>5</v>
      </c>
      <c r="P70" s="371" t="str">
        <f>IF(Psychologia!V70&gt;0,Psychologia!V70," ")</f>
        <v>egz</v>
      </c>
      <c r="Q70" s="150">
        <f t="shared" si="24"/>
        <v>2</v>
      </c>
      <c r="R70" s="135">
        <f t="shared" si="26"/>
        <v>6</v>
      </c>
      <c r="S70" s="161">
        <f t="shared" si="25"/>
        <v>4</v>
      </c>
      <c r="T70" s="132"/>
      <c r="U70" s="131"/>
      <c r="V70" s="131"/>
      <c r="W70" s="131"/>
      <c r="X70" s="131"/>
      <c r="Y70" s="131"/>
      <c r="Z70" s="131"/>
      <c r="AA70" s="131">
        <v>1</v>
      </c>
      <c r="AB70" s="131">
        <v>1</v>
      </c>
      <c r="AC70" s="131"/>
      <c r="AD70" s="131"/>
      <c r="AE70" s="133"/>
      <c r="AF70" s="132">
        <v>1</v>
      </c>
      <c r="AG70" s="131">
        <v>1</v>
      </c>
      <c r="AH70" s="131">
        <v>1</v>
      </c>
      <c r="AI70" s="131">
        <v>1</v>
      </c>
      <c r="AJ70" s="131"/>
      <c r="AK70" s="131"/>
      <c r="AL70" s="131">
        <v>1</v>
      </c>
      <c r="AM70" s="131"/>
      <c r="AN70" s="131"/>
      <c r="AO70" s="131">
        <v>1</v>
      </c>
      <c r="AP70" s="131"/>
      <c r="AQ70" s="131"/>
      <c r="AR70" s="131"/>
      <c r="AS70" s="131"/>
      <c r="AT70" s="131"/>
      <c r="AU70" s="131"/>
      <c r="AV70" s="131"/>
      <c r="AW70" s="131"/>
      <c r="AX70" s="131"/>
      <c r="AY70" s="131"/>
      <c r="AZ70" s="131"/>
      <c r="BA70" s="131"/>
      <c r="BB70" s="131"/>
      <c r="BC70" s="131"/>
      <c r="BD70" s="131"/>
      <c r="BE70" s="131"/>
      <c r="BF70" s="131"/>
      <c r="BG70" s="133"/>
      <c r="BH70" s="131"/>
      <c r="BI70" s="131">
        <v>1</v>
      </c>
      <c r="BJ70" s="131"/>
      <c r="BK70" s="131"/>
      <c r="BL70" s="131">
        <v>1</v>
      </c>
      <c r="BM70" s="131"/>
      <c r="BN70" s="131">
        <v>1</v>
      </c>
      <c r="BO70" s="131">
        <v>1</v>
      </c>
      <c r="BP70" s="131"/>
    </row>
    <row r="71" spans="1:68" s="44" customFormat="1" ht="32.25" customHeight="1" x14ac:dyDescent="0.25">
      <c r="A71" s="32">
        <f>Psychologia!A71</f>
        <v>50</v>
      </c>
      <c r="B71" s="127" t="str">
        <f>IF(Psychologia!B71&gt;0,Psychologia!B71," ")</f>
        <v xml:space="preserve"> </v>
      </c>
      <c r="C71" s="128" t="str">
        <f>IF(Psychologia!C71&gt;0,Psychologia!C71," ")</f>
        <v>2026/2027</v>
      </c>
      <c r="D71" s="128" t="str">
        <f>IF(Psychologia!D71&gt;0,Psychologia!D71," ")</f>
        <v xml:space="preserve"> </v>
      </c>
      <c r="E71" s="127">
        <f>IF(Psychologia!E71&gt;0,Psychologia!E71," ")</f>
        <v>3</v>
      </c>
      <c r="F71" s="32" t="str">
        <f>IF(Psychologia!F71&gt;0,Psychologia!F71," ")</f>
        <v>2028/2029</v>
      </c>
      <c r="G71" s="32" t="str">
        <f>IF(Psychologia!G71&gt;0,Psychologia!G71," ")</f>
        <v>RPS</v>
      </c>
      <c r="H71" s="122" t="str">
        <f>IF(Psychologia!H71&gt;0,Psychologia!H71," ")</f>
        <v xml:space="preserve"> </v>
      </c>
      <c r="I71" s="122" t="str">
        <f>IF(Psychologia!I71&gt;0,Psychologia!I71," ")</f>
        <v>Psychologia kliniczna dzieci i młodzieży</v>
      </c>
      <c r="J71" s="365">
        <f>Psychologia!Y71+Psychologia!AV71</f>
        <v>125</v>
      </c>
      <c r="K71" s="366">
        <f>Psychologia!AS71+Psychologia!BP71</f>
        <v>55</v>
      </c>
      <c r="L71" s="367">
        <f>Psychologia!Z71+Psychologia!AW71</f>
        <v>70</v>
      </c>
      <c r="M71" s="368">
        <f>Psychologia!AB71+Psychologia!AD71+Psychologia!AY71+Psychologia!BA71</f>
        <v>10</v>
      </c>
      <c r="N71" s="369">
        <f>Psychologia!AA71+Psychologia!AX71</f>
        <v>70</v>
      </c>
      <c r="O71" s="370">
        <f>Psychologia!X71+Psychologia!AU71</f>
        <v>5</v>
      </c>
      <c r="P71" s="371" t="str">
        <f>IF(Psychologia!V71&gt;0,Psychologia!V71," ")</f>
        <v>egz</v>
      </c>
      <c r="Q71" s="150">
        <f t="shared" si="24"/>
        <v>2</v>
      </c>
      <c r="R71" s="135">
        <f t="shared" si="26"/>
        <v>5</v>
      </c>
      <c r="S71" s="161">
        <f t="shared" si="25"/>
        <v>4</v>
      </c>
      <c r="T71" s="132"/>
      <c r="U71" s="131"/>
      <c r="V71" s="131"/>
      <c r="W71" s="131"/>
      <c r="X71" s="131"/>
      <c r="Y71" s="131"/>
      <c r="Z71" s="131"/>
      <c r="AA71" s="131">
        <v>1</v>
      </c>
      <c r="AB71" s="131">
        <v>1</v>
      </c>
      <c r="AC71" s="131"/>
      <c r="AD71" s="131"/>
      <c r="AE71" s="133"/>
      <c r="AF71" s="132">
        <v>1</v>
      </c>
      <c r="AG71" s="131">
        <v>1</v>
      </c>
      <c r="AH71" s="131">
        <v>1</v>
      </c>
      <c r="AI71" s="131">
        <v>1</v>
      </c>
      <c r="AJ71" s="131"/>
      <c r="AK71" s="131"/>
      <c r="AL71" s="131"/>
      <c r="AM71" s="131"/>
      <c r="AN71" s="131"/>
      <c r="AO71" s="131">
        <v>1</v>
      </c>
      <c r="AP71" s="131"/>
      <c r="AQ71" s="131"/>
      <c r="AR71" s="131"/>
      <c r="AS71" s="131"/>
      <c r="AT71" s="131"/>
      <c r="AU71" s="131"/>
      <c r="AV71" s="131"/>
      <c r="AW71" s="131"/>
      <c r="AX71" s="131"/>
      <c r="AY71" s="131"/>
      <c r="AZ71" s="131"/>
      <c r="BA71" s="131"/>
      <c r="BB71" s="131"/>
      <c r="BC71" s="131"/>
      <c r="BD71" s="131"/>
      <c r="BE71" s="131"/>
      <c r="BF71" s="131"/>
      <c r="BG71" s="133"/>
      <c r="BH71" s="131"/>
      <c r="BI71" s="131">
        <v>1</v>
      </c>
      <c r="BJ71" s="131"/>
      <c r="BK71" s="131"/>
      <c r="BL71" s="131">
        <v>1</v>
      </c>
      <c r="BM71" s="131"/>
      <c r="BN71" s="131">
        <v>1</v>
      </c>
      <c r="BO71" s="131">
        <v>1</v>
      </c>
      <c r="BP71" s="131"/>
    </row>
    <row r="72" spans="1:68" s="44" customFormat="1" ht="32.25" customHeight="1" x14ac:dyDescent="0.25">
      <c r="A72" s="32">
        <f>Psychologia!A72</f>
        <v>51</v>
      </c>
      <c r="B72" s="127" t="str">
        <f>IF(Psychologia!B72&gt;0,Psychologia!B72," ")</f>
        <v xml:space="preserve"> </v>
      </c>
      <c r="C72" s="128" t="str">
        <f>IF(Psychologia!C72&gt;0,Psychologia!C72," ")</f>
        <v>2026/2027</v>
      </c>
      <c r="D72" s="128" t="str">
        <f>IF(Psychologia!D72&gt;0,Psychologia!D72," ")</f>
        <v xml:space="preserve"> </v>
      </c>
      <c r="E72" s="127">
        <f>IF(Psychologia!E72&gt;0,Psychologia!E72," ")</f>
        <v>3</v>
      </c>
      <c r="F72" s="32" t="str">
        <f>IF(Psychologia!F72&gt;0,Psychologia!F72," ")</f>
        <v>2028/2029</v>
      </c>
      <c r="G72" s="32" t="str">
        <f>IF(Psychologia!G72&gt;0,Psychologia!G72," ")</f>
        <v>RPS</v>
      </c>
      <c r="H72" s="122" t="str">
        <f>IF(Psychologia!H72&gt;0,Psychologia!H72," ")</f>
        <v xml:space="preserve"> </v>
      </c>
      <c r="I72" s="122" t="str">
        <f>IF(Psychologia!I72&gt;0,Psychologia!I72," ")</f>
        <v>Psychologia środowiska</v>
      </c>
      <c r="J72" s="365">
        <f>Psychologia!Y72+Psychologia!AV72</f>
        <v>25</v>
      </c>
      <c r="K72" s="366">
        <f>Psychologia!AS72+Psychologia!BP72</f>
        <v>5</v>
      </c>
      <c r="L72" s="367">
        <f>Psychologia!Z72+Psychologia!AW72</f>
        <v>20</v>
      </c>
      <c r="M72" s="368">
        <f>Psychologia!AB72+Psychologia!AD72+Psychologia!AY72+Psychologia!BA72</f>
        <v>10</v>
      </c>
      <c r="N72" s="369">
        <f>Psychologia!AA72+Psychologia!AX72</f>
        <v>20</v>
      </c>
      <c r="O72" s="370">
        <f>Psychologia!X72+Psychologia!AU72</f>
        <v>1</v>
      </c>
      <c r="P72" s="371" t="str">
        <f>IF(Psychologia!V72&gt;0,Psychologia!V72," ")</f>
        <v>zal/o</v>
      </c>
      <c r="Q72" s="150">
        <f t="shared" si="24"/>
        <v>1</v>
      </c>
      <c r="R72" s="135">
        <f t="shared" si="26"/>
        <v>2</v>
      </c>
      <c r="S72" s="161">
        <f t="shared" si="25"/>
        <v>1</v>
      </c>
      <c r="T72" s="132"/>
      <c r="U72" s="131"/>
      <c r="V72" s="131"/>
      <c r="W72" s="131"/>
      <c r="X72" s="131">
        <v>1</v>
      </c>
      <c r="Y72" s="131"/>
      <c r="Z72" s="131"/>
      <c r="AA72" s="131"/>
      <c r="AB72" s="131"/>
      <c r="AC72" s="131"/>
      <c r="AD72" s="131"/>
      <c r="AE72" s="133"/>
      <c r="AF72" s="132"/>
      <c r="AG72" s="131"/>
      <c r="AH72" s="131"/>
      <c r="AI72" s="131">
        <v>1</v>
      </c>
      <c r="AJ72" s="131"/>
      <c r="AK72" s="131"/>
      <c r="AL72" s="131"/>
      <c r="AM72" s="131"/>
      <c r="AN72" s="131"/>
      <c r="AO72" s="131"/>
      <c r="AP72" s="131">
        <v>1</v>
      </c>
      <c r="AQ72" s="131"/>
      <c r="AR72" s="131"/>
      <c r="AS72" s="131"/>
      <c r="AT72" s="131"/>
      <c r="AU72" s="131"/>
      <c r="AV72" s="131"/>
      <c r="AW72" s="131"/>
      <c r="AX72" s="131"/>
      <c r="AY72" s="131"/>
      <c r="AZ72" s="131"/>
      <c r="BA72" s="131"/>
      <c r="BB72" s="131"/>
      <c r="BC72" s="131"/>
      <c r="BD72" s="131"/>
      <c r="BE72" s="131"/>
      <c r="BF72" s="131"/>
      <c r="BG72" s="133"/>
      <c r="BH72" s="131"/>
      <c r="BI72" s="131"/>
      <c r="BJ72" s="131"/>
      <c r="BK72" s="131"/>
      <c r="BL72" s="131"/>
      <c r="BM72" s="131"/>
      <c r="BN72" s="131"/>
      <c r="BO72" s="131"/>
      <c r="BP72" s="131">
        <v>1</v>
      </c>
    </row>
    <row r="73" spans="1:68" s="44" customFormat="1" ht="32.25" customHeight="1" x14ac:dyDescent="0.25">
      <c r="A73" s="32">
        <f>Psychologia!A73</f>
        <v>52</v>
      </c>
      <c r="B73" s="127" t="str">
        <f>IF(Psychologia!B73&gt;0,Psychologia!B73," ")</f>
        <v xml:space="preserve"> </v>
      </c>
      <c r="C73" s="128" t="str">
        <f>IF(Psychologia!C73&gt;0,Psychologia!C73," ")</f>
        <v>2026/2027</v>
      </c>
      <c r="D73" s="128" t="str">
        <f>IF(Psychologia!D73&gt;0,Psychologia!D73," ")</f>
        <v xml:space="preserve"> </v>
      </c>
      <c r="E73" s="127">
        <f>IF(Psychologia!E73&gt;0,Psychologia!E73," ")</f>
        <v>3</v>
      </c>
      <c r="F73" s="32" t="str">
        <f>IF(Psychologia!F73&gt;0,Psychologia!F73," ")</f>
        <v>2028/2029</v>
      </c>
      <c r="G73" s="32" t="str">
        <f>IF(Psychologia!G73&gt;0,Psychologia!G73," ")</f>
        <v>RPS</v>
      </c>
      <c r="H73" s="122" t="str">
        <f>IF(Psychologia!H73&gt;0,Psychologia!H73," ")</f>
        <v xml:space="preserve"> </v>
      </c>
      <c r="I73" s="122" t="str">
        <f>IF(Psychologia!I73&gt;0,Psychologia!I73," ")</f>
        <v>Psychologia zarządzania</v>
      </c>
      <c r="J73" s="365">
        <f>Psychologia!Y73+Psychologia!AV73</f>
        <v>25</v>
      </c>
      <c r="K73" s="366">
        <f>Psychologia!AS73+Psychologia!BP73</f>
        <v>15</v>
      </c>
      <c r="L73" s="367">
        <f>Psychologia!Z73+Psychologia!AW73</f>
        <v>10</v>
      </c>
      <c r="M73" s="368">
        <f>Psychologia!AB73+Psychologia!AD73+Psychologia!AY73+Psychologia!BA73</f>
        <v>10</v>
      </c>
      <c r="N73" s="369">
        <f>Psychologia!AA73+Psychologia!AX73</f>
        <v>10</v>
      </c>
      <c r="O73" s="370">
        <f>Psychologia!X73+Psychologia!AU73</f>
        <v>1</v>
      </c>
      <c r="P73" s="371" t="str">
        <f>IF(Psychologia!V73&gt;0,Psychologia!V73," ")</f>
        <v>zal/o</v>
      </c>
      <c r="Q73" s="150">
        <f t="shared" si="24"/>
        <v>2</v>
      </c>
      <c r="R73" s="135">
        <f t="shared" si="26"/>
        <v>5</v>
      </c>
      <c r="S73" s="161">
        <f t="shared" si="25"/>
        <v>1</v>
      </c>
      <c r="T73" s="132"/>
      <c r="U73" s="131"/>
      <c r="V73" s="131"/>
      <c r="W73" s="131"/>
      <c r="X73" s="131"/>
      <c r="Y73" s="131"/>
      <c r="Z73" s="131"/>
      <c r="AA73" s="131"/>
      <c r="AB73" s="131"/>
      <c r="AC73" s="131"/>
      <c r="AD73" s="131">
        <v>1</v>
      </c>
      <c r="AE73" s="133">
        <v>1</v>
      </c>
      <c r="AF73" s="132"/>
      <c r="AG73" s="131"/>
      <c r="AH73" s="131"/>
      <c r="AI73" s="131"/>
      <c r="AJ73" s="131"/>
      <c r="AK73" s="131"/>
      <c r="AL73" s="131"/>
      <c r="AM73" s="131"/>
      <c r="AN73" s="131">
        <v>1</v>
      </c>
      <c r="AO73" s="131"/>
      <c r="AP73" s="131"/>
      <c r="AQ73" s="131"/>
      <c r="AR73" s="131">
        <v>1</v>
      </c>
      <c r="AS73" s="131">
        <v>1</v>
      </c>
      <c r="AT73" s="131"/>
      <c r="AU73" s="131">
        <v>1</v>
      </c>
      <c r="AV73" s="131"/>
      <c r="AW73" s="131"/>
      <c r="AX73" s="131"/>
      <c r="AY73" s="131">
        <v>1</v>
      </c>
      <c r="AZ73" s="131"/>
      <c r="BA73" s="131"/>
      <c r="BB73" s="131"/>
      <c r="BC73" s="131"/>
      <c r="BD73" s="131"/>
      <c r="BE73" s="131"/>
      <c r="BF73" s="131"/>
      <c r="BG73" s="133"/>
      <c r="BH73" s="131"/>
      <c r="BI73" s="131"/>
      <c r="BJ73" s="131"/>
      <c r="BK73" s="131"/>
      <c r="BL73" s="131"/>
      <c r="BM73" s="131"/>
      <c r="BN73" s="131"/>
      <c r="BO73" s="131"/>
      <c r="BP73" s="131">
        <v>1</v>
      </c>
    </row>
    <row r="74" spans="1:68" s="44" customFormat="1" ht="32.25" customHeight="1" x14ac:dyDescent="0.25">
      <c r="A74" s="32">
        <f>Psychologia!A74</f>
        <v>53</v>
      </c>
      <c r="B74" s="127" t="str">
        <f>IF(Psychologia!B74&gt;0,Psychologia!B74," ")</f>
        <v xml:space="preserve"> </v>
      </c>
      <c r="C74" s="128" t="str">
        <f>IF(Psychologia!C74&gt;0,Psychologia!C74," ")</f>
        <v>2026/2027</v>
      </c>
      <c r="D74" s="128" t="str">
        <f>IF(Psychologia!D74&gt;0,Psychologia!D74," ")</f>
        <v xml:space="preserve"> </v>
      </c>
      <c r="E74" s="127">
        <f>IF(Psychologia!E74&gt;0,Psychologia!E74," ")</f>
        <v>3</v>
      </c>
      <c r="F74" s="32" t="str">
        <f>IF(Psychologia!F74&gt;0,Psychologia!F74," ")</f>
        <v>2028/2029</v>
      </c>
      <c r="G74" s="32" t="str">
        <f>IF(Psychologia!G74&gt;0,Psychologia!G74," ")</f>
        <v>RPS</v>
      </c>
      <c r="H74" s="122" t="str">
        <f>IF(Psychologia!H74&gt;0,Psychologia!H74," ")</f>
        <v xml:space="preserve"> </v>
      </c>
      <c r="I74" s="122" t="str">
        <f>IF(Psychologia!I74&gt;0,Psychologia!I74," ")</f>
        <v>Psychologia zdrowia</v>
      </c>
      <c r="J74" s="365">
        <f>Psychologia!Y74+Psychologia!AV74</f>
        <v>100</v>
      </c>
      <c r="K74" s="366">
        <f>Psychologia!AS74+Psychologia!BP74</f>
        <v>30</v>
      </c>
      <c r="L74" s="367">
        <f>Psychologia!Z74+Psychologia!AW74</f>
        <v>70</v>
      </c>
      <c r="M74" s="368">
        <f>Psychologia!AB74+Psychologia!AD74+Psychologia!AY74+Psychologia!BA74</f>
        <v>10</v>
      </c>
      <c r="N74" s="369">
        <f>Psychologia!AA74+Psychologia!AX74</f>
        <v>70</v>
      </c>
      <c r="O74" s="370">
        <f>Psychologia!X74+Psychologia!AU74</f>
        <v>4</v>
      </c>
      <c r="P74" s="371" t="str">
        <f>IF(Psychologia!V74&gt;0,Psychologia!V74," ")</f>
        <v>egz</v>
      </c>
      <c r="Q74" s="150">
        <f t="shared" si="24"/>
        <v>1</v>
      </c>
      <c r="R74" s="135">
        <f t="shared" si="26"/>
        <v>3</v>
      </c>
      <c r="S74" s="161">
        <f t="shared" si="25"/>
        <v>4</v>
      </c>
      <c r="T74" s="132"/>
      <c r="U74" s="131"/>
      <c r="V74" s="131"/>
      <c r="W74" s="131"/>
      <c r="X74" s="131">
        <v>1</v>
      </c>
      <c r="Y74" s="131"/>
      <c r="Z74" s="131"/>
      <c r="AA74" s="131"/>
      <c r="AB74" s="131"/>
      <c r="AC74" s="131"/>
      <c r="AD74" s="131"/>
      <c r="AE74" s="133"/>
      <c r="AF74" s="132"/>
      <c r="AG74" s="131"/>
      <c r="AH74" s="131"/>
      <c r="AI74" s="131"/>
      <c r="AJ74" s="131"/>
      <c r="AK74" s="131">
        <v>1</v>
      </c>
      <c r="AL74" s="131"/>
      <c r="AM74" s="131"/>
      <c r="AN74" s="131"/>
      <c r="AO74" s="131"/>
      <c r="AP74" s="131"/>
      <c r="AQ74" s="131"/>
      <c r="AR74" s="131"/>
      <c r="AS74" s="131"/>
      <c r="AT74" s="131"/>
      <c r="AU74" s="131"/>
      <c r="AV74" s="131"/>
      <c r="AW74" s="131"/>
      <c r="AX74" s="131"/>
      <c r="AY74" s="131"/>
      <c r="AZ74" s="131">
        <v>1</v>
      </c>
      <c r="BA74" s="131"/>
      <c r="BB74" s="131"/>
      <c r="BC74" s="131"/>
      <c r="BD74" s="131"/>
      <c r="BE74" s="131">
        <v>1</v>
      </c>
      <c r="BF74" s="131"/>
      <c r="BG74" s="133"/>
      <c r="BH74" s="131"/>
      <c r="BI74" s="131"/>
      <c r="BJ74" s="131"/>
      <c r="BK74" s="131">
        <v>1</v>
      </c>
      <c r="BL74" s="131">
        <v>1</v>
      </c>
      <c r="BM74" s="131"/>
      <c r="BN74" s="131">
        <v>1</v>
      </c>
      <c r="BO74" s="131">
        <v>1</v>
      </c>
      <c r="BP74" s="131"/>
    </row>
    <row r="75" spans="1:68" s="44" customFormat="1" ht="32.25" customHeight="1" x14ac:dyDescent="0.25">
      <c r="A75" s="32">
        <f>Psychologia!A75</f>
        <v>54</v>
      </c>
      <c r="B75" s="127" t="str">
        <f>IF(Psychologia!B75&gt;0,Psychologia!B75," ")</f>
        <v xml:space="preserve"> </v>
      </c>
      <c r="C75" s="128" t="str">
        <f>IF(Psychologia!C75&gt;0,Psychologia!C75," ")</f>
        <v>2026/2027</v>
      </c>
      <c r="D75" s="128" t="str">
        <f>IF(Psychologia!D75&gt;0,Psychologia!D75," ")</f>
        <v xml:space="preserve"> </v>
      </c>
      <c r="E75" s="127">
        <f>IF(Psychologia!E75&gt;0,Psychologia!E75," ")</f>
        <v>3</v>
      </c>
      <c r="F75" s="32" t="str">
        <f>IF(Psychologia!F75&gt;0,Psychologia!F75," ")</f>
        <v>2028/2029</v>
      </c>
      <c r="G75" s="32" t="str">
        <f>IF(Psychologia!G75&gt;0,Psychologia!G75," ")</f>
        <v>RPS</v>
      </c>
      <c r="H75" s="122" t="str">
        <f>IF(Psychologia!H75&gt;0,Psychologia!H75," ")</f>
        <v xml:space="preserve"> </v>
      </c>
      <c r="I75" s="122" t="str">
        <f>IF(Psychologia!I75&gt;0,Psychologia!I75," ")</f>
        <v>Psychometria</v>
      </c>
      <c r="J75" s="365">
        <f>Psychologia!Y75+Psychologia!AV75</f>
        <v>100</v>
      </c>
      <c r="K75" s="366">
        <f>Psychologia!AS75+Psychologia!BP75</f>
        <v>30</v>
      </c>
      <c r="L75" s="367">
        <f>Psychologia!Z75+Psychologia!AW75</f>
        <v>70</v>
      </c>
      <c r="M75" s="368">
        <f>Psychologia!AB75+Psychologia!AD75+Psychologia!AY75+Psychologia!BA75</f>
        <v>10</v>
      </c>
      <c r="N75" s="369">
        <f>Psychologia!AA75+Psychologia!AX75</f>
        <v>70</v>
      </c>
      <c r="O75" s="370">
        <f>Psychologia!X75+Psychologia!AU75</f>
        <v>4</v>
      </c>
      <c r="P75" s="371" t="str">
        <f>IF(Psychologia!V75&gt;0,Psychologia!V75," ")</f>
        <v>egz</v>
      </c>
      <c r="Q75" s="150">
        <f t="shared" si="24"/>
        <v>1</v>
      </c>
      <c r="R75" s="135">
        <f t="shared" si="26"/>
        <v>5</v>
      </c>
      <c r="S75" s="161">
        <f t="shared" si="25"/>
        <v>1</v>
      </c>
      <c r="T75" s="132"/>
      <c r="U75" s="131">
        <v>1</v>
      </c>
      <c r="V75" s="131"/>
      <c r="W75" s="131"/>
      <c r="X75" s="131"/>
      <c r="Y75" s="131"/>
      <c r="Z75" s="131"/>
      <c r="AA75" s="131"/>
      <c r="AB75" s="131"/>
      <c r="AC75" s="131"/>
      <c r="AD75" s="131"/>
      <c r="AE75" s="133"/>
      <c r="AF75" s="132">
        <v>1</v>
      </c>
      <c r="AG75" s="131">
        <v>1</v>
      </c>
      <c r="AH75" s="131"/>
      <c r="AI75" s="131"/>
      <c r="AJ75" s="131"/>
      <c r="AK75" s="131"/>
      <c r="AL75" s="131"/>
      <c r="AM75" s="131"/>
      <c r="AN75" s="131"/>
      <c r="AO75" s="131">
        <v>1</v>
      </c>
      <c r="AP75" s="131"/>
      <c r="AQ75" s="131"/>
      <c r="AR75" s="131"/>
      <c r="AS75" s="131"/>
      <c r="AT75" s="131"/>
      <c r="AU75" s="131"/>
      <c r="AV75" s="131"/>
      <c r="AW75" s="131">
        <v>1</v>
      </c>
      <c r="AX75" s="131"/>
      <c r="AY75" s="131"/>
      <c r="AZ75" s="131"/>
      <c r="BA75" s="131"/>
      <c r="BB75" s="131"/>
      <c r="BC75" s="131"/>
      <c r="BD75" s="131"/>
      <c r="BE75" s="131"/>
      <c r="BF75" s="131">
        <v>1</v>
      </c>
      <c r="BG75" s="133"/>
      <c r="BH75" s="131"/>
      <c r="BI75" s="131">
        <v>1</v>
      </c>
      <c r="BJ75" s="131"/>
      <c r="BK75" s="131"/>
      <c r="BL75" s="131"/>
      <c r="BM75" s="131"/>
      <c r="BN75" s="131"/>
      <c r="BO75" s="131"/>
      <c r="BP75" s="131"/>
    </row>
    <row r="76" spans="1:68" s="44" customFormat="1" ht="32.25" customHeight="1" x14ac:dyDescent="0.25">
      <c r="A76" s="32">
        <f>Psychologia!A76</f>
        <v>55</v>
      </c>
      <c r="B76" s="127" t="str">
        <f>IF(Psychologia!B76&gt;0,Psychologia!B76," ")</f>
        <v xml:space="preserve"> </v>
      </c>
      <c r="C76" s="128" t="str">
        <f>IF(Psychologia!C76&gt;0,Psychologia!C76," ")</f>
        <v>2026/2027</v>
      </c>
      <c r="D76" s="128" t="str">
        <f>IF(Psychologia!D76&gt;0,Psychologia!D76," ")</f>
        <v xml:space="preserve"> </v>
      </c>
      <c r="E76" s="127">
        <f>IF(Psychologia!E76&gt;0,Psychologia!E76," ")</f>
        <v>3</v>
      </c>
      <c r="F76" s="32" t="str">
        <f>IF(Psychologia!F76&gt;0,Psychologia!F76," ")</f>
        <v>2028/2029</v>
      </c>
      <c r="G76" s="32" t="str">
        <f>IF(Psychologia!G76&gt;0,Psychologia!G76," ")</f>
        <v>RPS</v>
      </c>
      <c r="H76" s="122" t="str">
        <f>IF(Psychologia!H76&gt;0,Psychologia!H76," ")</f>
        <v xml:space="preserve"> </v>
      </c>
      <c r="I76" s="122" t="str">
        <f>IF(Psychologia!I76&gt;0,Psychologia!I76," ")</f>
        <v>Psychopatologia</v>
      </c>
      <c r="J76" s="365">
        <f>Psychologia!Y76+Psychologia!AV76</f>
        <v>100</v>
      </c>
      <c r="K76" s="366">
        <f>Psychologia!AS76+Psychologia!BP76</f>
        <v>25</v>
      </c>
      <c r="L76" s="367">
        <f>Psychologia!Z76+Psychologia!AW76</f>
        <v>75</v>
      </c>
      <c r="M76" s="368">
        <f>Psychologia!AB76+Psychologia!AD76+Psychologia!AY76+Psychologia!BA76</f>
        <v>10</v>
      </c>
      <c r="N76" s="369">
        <f>Psychologia!AA76+Psychologia!AX76</f>
        <v>75</v>
      </c>
      <c r="O76" s="370">
        <f>Psychologia!X76+Psychologia!AU76</f>
        <v>4</v>
      </c>
      <c r="P76" s="371" t="str">
        <f>IF(Psychologia!V76&gt;0,Psychologia!V76," ")</f>
        <v>egz</v>
      </c>
      <c r="Q76" s="150">
        <f t="shared" si="24"/>
        <v>2</v>
      </c>
      <c r="R76" s="135">
        <f t="shared" si="26"/>
        <v>4</v>
      </c>
      <c r="S76" s="161">
        <f t="shared" si="25"/>
        <v>4</v>
      </c>
      <c r="T76" s="132"/>
      <c r="U76" s="131"/>
      <c r="V76" s="131"/>
      <c r="W76" s="131"/>
      <c r="X76" s="131"/>
      <c r="Y76" s="131"/>
      <c r="Z76" s="131"/>
      <c r="AA76" s="131">
        <v>1</v>
      </c>
      <c r="AB76" s="131">
        <v>1</v>
      </c>
      <c r="AC76" s="131"/>
      <c r="AD76" s="131"/>
      <c r="AE76" s="133"/>
      <c r="AF76" s="132">
        <v>1</v>
      </c>
      <c r="AG76" s="131">
        <v>1</v>
      </c>
      <c r="AH76" s="131">
        <v>1</v>
      </c>
      <c r="AI76" s="131">
        <v>1</v>
      </c>
      <c r="AJ76" s="131"/>
      <c r="AK76" s="131"/>
      <c r="AL76" s="131"/>
      <c r="AM76" s="131"/>
      <c r="AN76" s="131"/>
      <c r="AO76" s="131"/>
      <c r="AP76" s="131"/>
      <c r="AQ76" s="131"/>
      <c r="AR76" s="131"/>
      <c r="AS76" s="131"/>
      <c r="AT76" s="131"/>
      <c r="AU76" s="131"/>
      <c r="AV76" s="131"/>
      <c r="AW76" s="131"/>
      <c r="AX76" s="131"/>
      <c r="AY76" s="131"/>
      <c r="AZ76" s="131"/>
      <c r="BA76" s="131"/>
      <c r="BB76" s="131"/>
      <c r="BC76" s="131"/>
      <c r="BD76" s="131"/>
      <c r="BE76" s="131"/>
      <c r="BF76" s="131"/>
      <c r="BG76" s="133"/>
      <c r="BH76" s="131"/>
      <c r="BI76" s="131">
        <v>1</v>
      </c>
      <c r="BJ76" s="131"/>
      <c r="BK76" s="131">
        <v>1</v>
      </c>
      <c r="BL76" s="131">
        <v>1</v>
      </c>
      <c r="BM76" s="131">
        <v>1</v>
      </c>
      <c r="BN76" s="131"/>
      <c r="BO76" s="131"/>
      <c r="BP76" s="131"/>
    </row>
    <row r="77" spans="1:68" s="44" customFormat="1" ht="32.25" customHeight="1" x14ac:dyDescent="0.25">
      <c r="A77" s="32">
        <f>Psychologia!A77</f>
        <v>56</v>
      </c>
      <c r="B77" s="127" t="str">
        <f>IF(Psychologia!B77&gt;0,Psychologia!B77," ")</f>
        <v xml:space="preserve"> </v>
      </c>
      <c r="C77" s="128" t="str">
        <f>IF(Psychologia!C77&gt;0,Psychologia!C77," ")</f>
        <v>2026/2027</v>
      </c>
      <c r="D77" s="128" t="str">
        <f>IF(Psychologia!D77&gt;0,Psychologia!D77," ")</f>
        <v xml:space="preserve"> </v>
      </c>
      <c r="E77" s="127">
        <f>IF(Psychologia!E77&gt;0,Psychologia!E77," ")</f>
        <v>3</v>
      </c>
      <c r="F77" s="32" t="str">
        <f>IF(Psychologia!F77&gt;0,Psychologia!F77," ")</f>
        <v>2028/2029</v>
      </c>
      <c r="G77" s="32" t="str">
        <f>IF(Psychologia!G77&gt;0,Psychologia!G77," ")</f>
        <v>RPS</v>
      </c>
      <c r="H77" s="122" t="str">
        <f>IF(Psychologia!H77&gt;0,Psychologia!H77," ")</f>
        <v xml:space="preserve"> </v>
      </c>
      <c r="I77" s="122" t="str">
        <f>IF(Psychologia!I77&gt;0,Psychologia!I77," ")</f>
        <v>Statystyka I</v>
      </c>
      <c r="J77" s="365">
        <f>Psychologia!Y77+Psychologia!AV77</f>
        <v>38</v>
      </c>
      <c r="K77" s="366">
        <f>Psychologia!AS77+Psychologia!BP77</f>
        <v>3</v>
      </c>
      <c r="L77" s="367">
        <f>Psychologia!Z77+Psychologia!AW77</f>
        <v>35</v>
      </c>
      <c r="M77" s="368">
        <f>Psychologia!AB77+Psychologia!AD77+Psychologia!AY77+Psychologia!BA77</f>
        <v>5</v>
      </c>
      <c r="N77" s="369">
        <f>Psychologia!AA77+Psychologia!AX77</f>
        <v>35</v>
      </c>
      <c r="O77" s="370">
        <f>Psychologia!X77+Psychologia!AU77</f>
        <v>1.5</v>
      </c>
      <c r="P77" s="371" t="str">
        <f>IF(Psychologia!V77&gt;0,Psychologia!V77," ")</f>
        <v>zal/o</v>
      </c>
      <c r="Q77" s="150">
        <f t="shared" si="24"/>
        <v>2</v>
      </c>
      <c r="R77" s="135">
        <f t="shared" si="26"/>
        <v>3</v>
      </c>
      <c r="S77" s="161">
        <f t="shared" si="25"/>
        <v>1</v>
      </c>
      <c r="T77" s="132"/>
      <c r="U77" s="131"/>
      <c r="V77" s="131"/>
      <c r="W77" s="131">
        <v>1</v>
      </c>
      <c r="X77" s="131"/>
      <c r="Y77" s="131"/>
      <c r="Z77" s="131">
        <v>1</v>
      </c>
      <c r="AA77" s="131"/>
      <c r="AB77" s="131"/>
      <c r="AC77" s="131"/>
      <c r="AD77" s="131"/>
      <c r="AE77" s="133"/>
      <c r="AF77" s="132"/>
      <c r="AG77" s="131"/>
      <c r="AH77" s="131"/>
      <c r="AI77" s="131"/>
      <c r="AJ77" s="131"/>
      <c r="AK77" s="131"/>
      <c r="AL77" s="131"/>
      <c r="AM77" s="131">
        <v>1</v>
      </c>
      <c r="AN77" s="131"/>
      <c r="AO77" s="131"/>
      <c r="AP77" s="131"/>
      <c r="AQ77" s="131"/>
      <c r="AR77" s="131"/>
      <c r="AS77" s="131"/>
      <c r="AT77" s="131"/>
      <c r="AU77" s="131"/>
      <c r="AV77" s="131"/>
      <c r="AW77" s="131">
        <v>1</v>
      </c>
      <c r="AX77" s="131"/>
      <c r="AY77" s="131"/>
      <c r="AZ77" s="131"/>
      <c r="BA77" s="131"/>
      <c r="BB77" s="131"/>
      <c r="BC77" s="131"/>
      <c r="BD77" s="131"/>
      <c r="BE77" s="131"/>
      <c r="BF77" s="131">
        <v>1</v>
      </c>
      <c r="BG77" s="133"/>
      <c r="BH77" s="131">
        <v>1</v>
      </c>
      <c r="BI77" s="131"/>
      <c r="BJ77" s="131"/>
      <c r="BK77" s="131"/>
      <c r="BL77" s="131"/>
      <c r="BM77" s="131"/>
      <c r="BN77" s="131"/>
      <c r="BO77" s="131"/>
      <c r="BP77" s="131"/>
    </row>
    <row r="78" spans="1:68" s="44" customFormat="1" ht="32.25" customHeight="1" x14ac:dyDescent="0.25">
      <c r="A78" s="32">
        <f>Psychologia!A78</f>
        <v>57</v>
      </c>
      <c r="B78" s="127" t="str">
        <f>IF(Psychologia!B78&gt;0,Psychologia!B78," ")</f>
        <v xml:space="preserve"> </v>
      </c>
      <c r="C78" s="128" t="str">
        <f>IF(Psychologia!C78&gt;0,Psychologia!C78," ")</f>
        <v>2026/2027</v>
      </c>
      <c r="D78" s="128" t="str">
        <f>IF(Psychologia!D78&gt;0,Psychologia!D78," ")</f>
        <v xml:space="preserve"> </v>
      </c>
      <c r="E78" s="127">
        <f>IF(Psychologia!E78&gt;0,Psychologia!E78," ")</f>
        <v>3</v>
      </c>
      <c r="F78" s="32" t="str">
        <f>IF(Psychologia!F78&gt;0,Psychologia!F78," ")</f>
        <v>2028/2029</v>
      </c>
      <c r="G78" s="32" t="str">
        <f>IF(Psychologia!G78&gt;0,Psychologia!G78," ")</f>
        <v>RPS</v>
      </c>
      <c r="H78" s="122" t="str">
        <f>IF(Psychologia!H78&gt;0,Psychologia!H78," ")</f>
        <v xml:space="preserve"> </v>
      </c>
      <c r="I78" s="122" t="str">
        <f>IF(Psychologia!I78&gt;0,Psychologia!I78," ")</f>
        <v>Statystyka II</v>
      </c>
      <c r="J78" s="365">
        <f>Psychologia!Y78+Psychologia!AV78</f>
        <v>37</v>
      </c>
      <c r="K78" s="366">
        <f>Psychologia!AS78+Psychologia!BP78</f>
        <v>7</v>
      </c>
      <c r="L78" s="367">
        <f>Psychologia!Z78+Psychologia!AW78</f>
        <v>30</v>
      </c>
      <c r="M78" s="368">
        <f>Psychologia!AB78+Psychologia!AD78+Psychologia!AY78+Psychologia!BA78</f>
        <v>0</v>
      </c>
      <c r="N78" s="369">
        <f>Psychologia!AA78+Psychologia!AX78</f>
        <v>30</v>
      </c>
      <c r="O78" s="370">
        <f>Psychologia!X78+Psychologia!AU78</f>
        <v>1.5</v>
      </c>
      <c r="P78" s="371" t="str">
        <f>IF(Psychologia!V78&gt;0,Psychologia!V78," ")</f>
        <v>zal/o</v>
      </c>
      <c r="Q78" s="150">
        <f t="shared" si="24"/>
        <v>2</v>
      </c>
      <c r="R78" s="135">
        <f t="shared" si="26"/>
        <v>4</v>
      </c>
      <c r="S78" s="161">
        <f t="shared" si="25"/>
        <v>1</v>
      </c>
      <c r="T78" s="132"/>
      <c r="U78" s="131"/>
      <c r="V78" s="131"/>
      <c r="W78" s="131">
        <v>1</v>
      </c>
      <c r="X78" s="131"/>
      <c r="Y78" s="131"/>
      <c r="Z78" s="131">
        <v>1</v>
      </c>
      <c r="AA78" s="131"/>
      <c r="AB78" s="131"/>
      <c r="AC78" s="131"/>
      <c r="AD78" s="131"/>
      <c r="AE78" s="133"/>
      <c r="AF78" s="132"/>
      <c r="AG78" s="131"/>
      <c r="AH78" s="131"/>
      <c r="AI78" s="131"/>
      <c r="AJ78" s="131"/>
      <c r="AK78" s="131"/>
      <c r="AL78" s="131"/>
      <c r="AM78" s="131">
        <v>1</v>
      </c>
      <c r="AN78" s="131"/>
      <c r="AO78" s="131"/>
      <c r="AP78" s="131"/>
      <c r="AQ78" s="131"/>
      <c r="AR78" s="131"/>
      <c r="AS78" s="131"/>
      <c r="AT78" s="131"/>
      <c r="AU78" s="131"/>
      <c r="AV78" s="131"/>
      <c r="AW78" s="131">
        <v>1</v>
      </c>
      <c r="AX78" s="131"/>
      <c r="AY78" s="131"/>
      <c r="AZ78" s="131"/>
      <c r="BA78" s="131"/>
      <c r="BB78" s="131"/>
      <c r="BC78" s="131"/>
      <c r="BD78" s="131"/>
      <c r="BE78" s="131">
        <v>1</v>
      </c>
      <c r="BF78" s="131">
        <v>1</v>
      </c>
      <c r="BG78" s="133"/>
      <c r="BH78" s="131">
        <v>1</v>
      </c>
      <c r="BI78" s="131"/>
      <c r="BJ78" s="131"/>
      <c r="BK78" s="131"/>
      <c r="BL78" s="131"/>
      <c r="BM78" s="131"/>
      <c r="BN78" s="131"/>
      <c r="BO78" s="131"/>
      <c r="BP78" s="131"/>
    </row>
    <row r="79" spans="1:68" s="44" customFormat="1" ht="32.25" customHeight="1" thickBot="1" x14ac:dyDescent="0.3">
      <c r="A79" s="56">
        <f>Psychologia!A79</f>
        <v>58</v>
      </c>
      <c r="B79" s="410" t="str">
        <f>IF(Psychologia!B79&gt;0,Psychologia!B79," ")</f>
        <v xml:space="preserve"> </v>
      </c>
      <c r="C79" s="361" t="str">
        <f>IF(Psychologia!C79&gt;0,Psychologia!C79," ")</f>
        <v>2026/2027</v>
      </c>
      <c r="D79" s="361" t="str">
        <f>IF(Psychologia!D79&gt;0,Psychologia!D79," ")</f>
        <v xml:space="preserve"> </v>
      </c>
      <c r="E79" s="410">
        <v>3</v>
      </c>
      <c r="F79" s="56" t="s">
        <v>459</v>
      </c>
      <c r="G79" s="56" t="str">
        <f>IF(Psychologia!G79&gt;0,Psychologia!G79," ")</f>
        <v>RPS</v>
      </c>
      <c r="H79" s="120" t="str">
        <f>IF(Psychologia!H79&gt;0,Psychologia!H79," ")</f>
        <v xml:space="preserve"> </v>
      </c>
      <c r="I79" s="120" t="str">
        <f>IF(Psychologia!I79&gt;0,Psychologia!I79," ")</f>
        <v>Wprowadzenie do psychologii klinicznej</v>
      </c>
      <c r="J79" s="355">
        <f>Psychologia!Y79+Psychologia!AV79</f>
        <v>125</v>
      </c>
      <c r="K79" s="356">
        <f>Psychologia!AS79+Psychologia!BP79</f>
        <v>55</v>
      </c>
      <c r="L79" s="357">
        <f>Psychologia!Z79+Psychologia!AW79</f>
        <v>70</v>
      </c>
      <c r="M79" s="358">
        <f>Psychologia!AB79+Psychologia!AD79+Psychologia!AY79+Psychologia!BA79</f>
        <v>10</v>
      </c>
      <c r="N79" s="359">
        <f>Psychologia!AA79+Psychologia!AX79</f>
        <v>70</v>
      </c>
      <c r="O79" s="360">
        <f>Psychologia!X79+Psychologia!AU79</f>
        <v>5</v>
      </c>
      <c r="P79" s="361" t="str">
        <f>IF(Psychologia!V79&gt;0,Psychologia!V79," ")</f>
        <v>egz</v>
      </c>
      <c r="Q79" s="362">
        <f t="shared" si="24"/>
        <v>3</v>
      </c>
      <c r="R79" s="363">
        <f t="shared" si="26"/>
        <v>4</v>
      </c>
      <c r="S79" s="364">
        <f t="shared" si="25"/>
        <v>4</v>
      </c>
      <c r="T79" s="132">
        <v>1</v>
      </c>
      <c r="U79" s="131"/>
      <c r="V79" s="131"/>
      <c r="W79" s="131"/>
      <c r="X79" s="131"/>
      <c r="Y79" s="131"/>
      <c r="Z79" s="131"/>
      <c r="AA79" s="131">
        <v>1</v>
      </c>
      <c r="AB79" s="131">
        <v>1</v>
      </c>
      <c r="AC79" s="131"/>
      <c r="AD79" s="131"/>
      <c r="AE79" s="133"/>
      <c r="AF79" s="132">
        <v>1</v>
      </c>
      <c r="AG79" s="131">
        <v>1</v>
      </c>
      <c r="AH79" s="131">
        <v>1</v>
      </c>
      <c r="AI79" s="131"/>
      <c r="AJ79" s="131"/>
      <c r="AK79" s="131"/>
      <c r="AL79" s="131"/>
      <c r="AM79" s="131">
        <v>1</v>
      </c>
      <c r="AN79" s="131"/>
      <c r="AO79" s="131"/>
      <c r="AP79" s="131"/>
      <c r="AQ79" s="131"/>
      <c r="AR79" s="131"/>
      <c r="AS79" s="131"/>
      <c r="AT79" s="131"/>
      <c r="AU79" s="131"/>
      <c r="AV79" s="131"/>
      <c r="AW79" s="131"/>
      <c r="AX79" s="131"/>
      <c r="AY79" s="131"/>
      <c r="AZ79" s="131"/>
      <c r="BA79" s="131"/>
      <c r="BB79" s="131"/>
      <c r="BC79" s="131"/>
      <c r="BD79" s="131"/>
      <c r="BE79" s="131"/>
      <c r="BF79" s="131"/>
      <c r="BG79" s="133"/>
      <c r="BH79" s="131"/>
      <c r="BI79" s="131">
        <v>1</v>
      </c>
      <c r="BJ79" s="131"/>
      <c r="BK79" s="131">
        <v>1</v>
      </c>
      <c r="BL79" s="131">
        <v>1</v>
      </c>
      <c r="BM79" s="131">
        <v>1</v>
      </c>
      <c r="BN79" s="131"/>
      <c r="BO79" s="131"/>
      <c r="BP79" s="131"/>
    </row>
    <row r="80" spans="1:68" s="44" customFormat="1" ht="30" customHeight="1" thickBot="1" x14ac:dyDescent="0.3">
      <c r="A80" s="617"/>
      <c r="B80" s="688" t="str">
        <f>IF(Psychologia!B80&gt;0,Psychologia!B80," ")</f>
        <v xml:space="preserve"> </v>
      </c>
      <c r="C80" s="689" t="str">
        <f>IF(Psychologia!C80&gt;0,Psychologia!C80," ")</f>
        <v xml:space="preserve"> </v>
      </c>
      <c r="D80" s="689" t="str">
        <f>IF(Psychologia!D80&gt;0,Psychologia!D80," ")</f>
        <v xml:space="preserve"> </v>
      </c>
      <c r="E80" s="688" t="str">
        <f>IF(Psychologia!E80&gt;0,Psychologia!E80," ")</f>
        <v xml:space="preserve"> </v>
      </c>
      <c r="F80" s="689" t="str">
        <f>IF(Psychologia!F80&gt;0,Psychologia!F80," ")</f>
        <v xml:space="preserve"> </v>
      </c>
      <c r="G80" s="689" t="str">
        <f>IF(Psychologia!G80&gt;0,Psychologia!G80," ")</f>
        <v xml:space="preserve"> </v>
      </c>
      <c r="H80" s="690" t="str">
        <f>IF(Psychologia!H80&gt;0,Psychologia!H80," ")</f>
        <v xml:space="preserve"> </v>
      </c>
      <c r="I80" s="691" t="str">
        <f>IF(Psychologia!I80&gt;0,Psychologia!I80," ")</f>
        <v>sumy dla 3 roku</v>
      </c>
      <c r="J80" s="297">
        <f>Psychologia!Y80+Psychologia!AV80</f>
        <v>1520</v>
      </c>
      <c r="K80" s="298">
        <f>Psychologia!AS80+Psychologia!BP80</f>
        <v>455</v>
      </c>
      <c r="L80" s="299">
        <f>SUM(Psychologia!O62:O79)</f>
        <v>1065</v>
      </c>
      <c r="M80" s="299">
        <f>SUM(M62:M79)</f>
        <v>125</v>
      </c>
      <c r="N80" s="299">
        <f>SUM(Psychologia!P62:P79)</f>
        <v>1065</v>
      </c>
      <c r="O80" s="299">
        <f>SUM(Psychologia!Q62:Q79)</f>
        <v>60</v>
      </c>
      <c r="P80" s="299" t="str">
        <f>IF(Psychologia!V80&gt;0,Psychologia!V80," ")</f>
        <v xml:space="preserve"> </v>
      </c>
      <c r="Q80" s="299">
        <f t="shared" ref="Q80:S80" si="27">SUM(Q62:Q79)</f>
        <v>26</v>
      </c>
      <c r="R80" s="299">
        <f t="shared" si="27"/>
        <v>78</v>
      </c>
      <c r="S80" s="612">
        <f t="shared" si="27"/>
        <v>33</v>
      </c>
      <c r="T80" s="1073">
        <f t="shared" ref="T80:AY80" si="28">SUM(T62:T79)</f>
        <v>1</v>
      </c>
      <c r="U80" s="1044">
        <f t="shared" si="28"/>
        <v>3</v>
      </c>
      <c r="V80" s="1044">
        <f t="shared" si="28"/>
        <v>0</v>
      </c>
      <c r="W80" s="1044">
        <f t="shared" si="28"/>
        <v>4</v>
      </c>
      <c r="X80" s="1044">
        <f t="shared" si="28"/>
        <v>2</v>
      </c>
      <c r="Y80" s="1044">
        <f t="shared" si="28"/>
        <v>0</v>
      </c>
      <c r="Z80" s="1044">
        <f t="shared" si="28"/>
        <v>4</v>
      </c>
      <c r="AA80" s="1044">
        <f t="shared" si="28"/>
        <v>6</v>
      </c>
      <c r="AB80" s="1044">
        <f t="shared" si="28"/>
        <v>4</v>
      </c>
      <c r="AC80" s="1044">
        <f t="shared" si="28"/>
        <v>0</v>
      </c>
      <c r="AD80" s="1044">
        <f t="shared" si="28"/>
        <v>1</v>
      </c>
      <c r="AE80" s="1074">
        <f t="shared" si="28"/>
        <v>1</v>
      </c>
      <c r="AF80" s="1073">
        <f t="shared" si="28"/>
        <v>8</v>
      </c>
      <c r="AG80" s="1044">
        <f t="shared" si="28"/>
        <v>8</v>
      </c>
      <c r="AH80" s="1044">
        <f t="shared" si="28"/>
        <v>6</v>
      </c>
      <c r="AI80" s="1044">
        <f t="shared" si="28"/>
        <v>4</v>
      </c>
      <c r="AJ80" s="1044">
        <f t="shared" si="28"/>
        <v>0</v>
      </c>
      <c r="AK80" s="1044">
        <f t="shared" si="28"/>
        <v>1</v>
      </c>
      <c r="AL80" s="1044">
        <f t="shared" si="28"/>
        <v>1</v>
      </c>
      <c r="AM80" s="1044">
        <f t="shared" si="28"/>
        <v>5</v>
      </c>
      <c r="AN80" s="1044">
        <f t="shared" si="28"/>
        <v>1</v>
      </c>
      <c r="AO80" s="1044">
        <f t="shared" si="28"/>
        <v>6</v>
      </c>
      <c r="AP80" s="1044">
        <f t="shared" si="28"/>
        <v>1</v>
      </c>
      <c r="AQ80" s="1044">
        <f t="shared" si="28"/>
        <v>0</v>
      </c>
      <c r="AR80" s="1044">
        <f t="shared" si="28"/>
        <v>1</v>
      </c>
      <c r="AS80" s="1044">
        <f t="shared" si="28"/>
        <v>4</v>
      </c>
      <c r="AT80" s="1044">
        <f t="shared" si="28"/>
        <v>2</v>
      </c>
      <c r="AU80" s="1044">
        <f t="shared" si="28"/>
        <v>3</v>
      </c>
      <c r="AV80" s="1044">
        <f t="shared" si="28"/>
        <v>0</v>
      </c>
      <c r="AW80" s="1044">
        <f t="shared" si="28"/>
        <v>4</v>
      </c>
      <c r="AX80" s="1044">
        <f t="shared" si="28"/>
        <v>0</v>
      </c>
      <c r="AY80" s="1044">
        <f t="shared" si="28"/>
        <v>4</v>
      </c>
      <c r="AZ80" s="1044">
        <f t="shared" ref="AZ80:BP80" si="29">SUM(AZ62:AZ79)</f>
        <v>4</v>
      </c>
      <c r="BA80" s="1044">
        <f t="shared" si="29"/>
        <v>2</v>
      </c>
      <c r="BB80" s="1044">
        <f t="shared" si="29"/>
        <v>1</v>
      </c>
      <c r="BC80" s="1044">
        <f t="shared" si="29"/>
        <v>2</v>
      </c>
      <c r="BD80" s="1044">
        <f t="shared" si="29"/>
        <v>2</v>
      </c>
      <c r="BE80" s="1044">
        <f t="shared" si="29"/>
        <v>4</v>
      </c>
      <c r="BF80" s="1044">
        <f t="shared" si="29"/>
        <v>4</v>
      </c>
      <c r="BG80" s="1074">
        <f t="shared" si="29"/>
        <v>0</v>
      </c>
      <c r="BH80" s="1044">
        <f t="shared" si="29"/>
        <v>4</v>
      </c>
      <c r="BI80" s="1044">
        <f t="shared" si="29"/>
        <v>6</v>
      </c>
      <c r="BJ80" s="1044">
        <f t="shared" si="29"/>
        <v>1</v>
      </c>
      <c r="BK80" s="1044">
        <f t="shared" si="29"/>
        <v>5</v>
      </c>
      <c r="BL80" s="1044">
        <f t="shared" si="29"/>
        <v>6</v>
      </c>
      <c r="BM80" s="1044">
        <f t="shared" si="29"/>
        <v>2</v>
      </c>
      <c r="BN80" s="1044">
        <f t="shared" si="29"/>
        <v>3</v>
      </c>
      <c r="BO80" s="1044">
        <f t="shared" si="29"/>
        <v>3</v>
      </c>
      <c r="BP80" s="1044">
        <f t="shared" si="29"/>
        <v>3</v>
      </c>
    </row>
    <row r="81" spans="1:68" s="44" customFormat="1" ht="32.25" customHeight="1" x14ac:dyDescent="0.25">
      <c r="A81" s="46">
        <f>Psychologia!A81</f>
        <v>59</v>
      </c>
      <c r="B81" s="127" t="str">
        <f>IF(Psychologia!B81&gt;0,Psychologia!B81," ")</f>
        <v xml:space="preserve"> </v>
      </c>
      <c r="C81" s="128" t="str">
        <f>IF(Psychologia!C81&gt;0,Psychologia!C81," ")</f>
        <v>2026/2027</v>
      </c>
      <c r="D81" s="128" t="str">
        <f>IF(Psychologia!D81&gt;0,Psychologia!D81," ")</f>
        <v xml:space="preserve"> </v>
      </c>
      <c r="E81" s="127">
        <f>IF(Psychologia!E81&gt;0,Psychologia!E81," ")</f>
        <v>4</v>
      </c>
      <c r="F81" s="32" t="str">
        <f>IF(Psychologia!F81&gt;0,Psychologia!F81," ")</f>
        <v>2029/2030</v>
      </c>
      <c r="G81" s="32" t="str">
        <f>IF(Psychologia!G81&gt;0,Psychologia!G81," ")</f>
        <v>RPS</v>
      </c>
      <c r="H81" s="122" t="str">
        <f>IF(Psychologia!H81&gt;0,Psychologia!H81," ")</f>
        <v xml:space="preserve"> </v>
      </c>
      <c r="I81" s="122" t="str">
        <f>IF(Psychologia!I81&gt;0,Psychologia!I81," ")</f>
        <v>Psychiatria</v>
      </c>
      <c r="J81" s="379">
        <f>Psychologia!Y81+Psychologia!AV81</f>
        <v>100</v>
      </c>
      <c r="K81" s="380">
        <f>Psychologia!AS81+Psychologia!BP81</f>
        <v>25</v>
      </c>
      <c r="L81" s="381">
        <f>Psychologia!Z81+Psychologia!AW81</f>
        <v>75</v>
      </c>
      <c r="M81" s="382">
        <f>Psychologia!AB81+Psychologia!AD81+Psychologia!AY81+Psychologia!BA81</f>
        <v>10</v>
      </c>
      <c r="N81" s="383">
        <f>Psychologia!AA81+Psychologia!AX81</f>
        <v>75</v>
      </c>
      <c r="O81" s="384">
        <f>Psychologia!X81+Psychologia!AU81</f>
        <v>4</v>
      </c>
      <c r="P81" s="385" t="str">
        <f>IF(Psychologia!V81&gt;0,Psychologia!V81," ")</f>
        <v>egz</v>
      </c>
      <c r="Q81" s="386">
        <f>SUM(T81:AE81)</f>
        <v>4</v>
      </c>
      <c r="R81" s="387">
        <f t="shared" ref="R81" si="30">SUM(AF81:BG81)</f>
        <v>5</v>
      </c>
      <c r="S81" s="388">
        <f>SUM(BH81:BP81)</f>
        <v>1</v>
      </c>
      <c r="T81" s="132"/>
      <c r="U81" s="131"/>
      <c r="V81" s="131"/>
      <c r="W81" s="131"/>
      <c r="X81" s="131"/>
      <c r="Y81" s="131"/>
      <c r="Z81" s="131"/>
      <c r="AA81" s="131">
        <v>1</v>
      </c>
      <c r="AB81" s="131">
        <v>1</v>
      </c>
      <c r="AC81" s="131"/>
      <c r="AD81" s="131">
        <v>1</v>
      </c>
      <c r="AE81" s="133">
        <v>1</v>
      </c>
      <c r="AF81" s="132">
        <v>1</v>
      </c>
      <c r="AG81" s="131">
        <v>1</v>
      </c>
      <c r="AH81" s="131"/>
      <c r="AI81" s="131"/>
      <c r="AJ81" s="131"/>
      <c r="AK81" s="131"/>
      <c r="AL81" s="131"/>
      <c r="AM81" s="131"/>
      <c r="AN81" s="131"/>
      <c r="AO81" s="131"/>
      <c r="AP81" s="131"/>
      <c r="AQ81" s="131"/>
      <c r="AR81" s="131"/>
      <c r="AS81" s="131">
        <v>1</v>
      </c>
      <c r="AT81" s="131"/>
      <c r="AU81" s="131"/>
      <c r="AV81" s="131"/>
      <c r="AW81" s="131"/>
      <c r="AX81" s="131"/>
      <c r="AY81" s="131"/>
      <c r="AZ81" s="131"/>
      <c r="BA81" s="131">
        <v>1</v>
      </c>
      <c r="BB81" s="131"/>
      <c r="BC81" s="131"/>
      <c r="BD81" s="131"/>
      <c r="BE81" s="131"/>
      <c r="BF81" s="131">
        <v>1</v>
      </c>
      <c r="BG81" s="133"/>
      <c r="BH81" s="131"/>
      <c r="BI81" s="131"/>
      <c r="BJ81" s="131"/>
      <c r="BK81" s="131"/>
      <c r="BL81" s="131">
        <v>1</v>
      </c>
      <c r="BM81" s="131"/>
      <c r="BN81" s="131"/>
      <c r="BO81" s="131"/>
      <c r="BP81" s="131"/>
    </row>
    <row r="82" spans="1:68" s="44" customFormat="1" ht="32.25" customHeight="1" x14ac:dyDescent="0.25">
      <c r="A82" s="46">
        <f>Psychologia!A82</f>
        <v>60</v>
      </c>
      <c r="B82" s="127" t="str">
        <f>IF(Psychologia!B82&gt;0,Psychologia!B82," ")</f>
        <v xml:space="preserve"> </v>
      </c>
      <c r="C82" s="128" t="str">
        <f>IF(Psychologia!C82&gt;0,Psychologia!C82," ")</f>
        <v>2026/2027</v>
      </c>
      <c r="D82" s="128" t="str">
        <f>IF(Psychologia!D82&gt;0,Psychologia!D82," ")</f>
        <v xml:space="preserve"> </v>
      </c>
      <c r="E82" s="127">
        <f>IF(Psychologia!E82&gt;0,Psychologia!E82," ")</f>
        <v>4</v>
      </c>
      <c r="F82" s="32" t="str">
        <f>IF(Psychologia!F82&gt;0,Psychologia!F82," ")</f>
        <v>2029/2030</v>
      </c>
      <c r="G82" s="32" t="str">
        <f>IF(Psychologia!G82&gt;0,Psychologia!G82," ")</f>
        <v>RPS</v>
      </c>
      <c r="H82" s="122" t="str">
        <f>IF(Psychologia!H82&gt;0,Psychologia!H82," ")</f>
        <v xml:space="preserve"> </v>
      </c>
      <c r="I82" s="122" t="str">
        <f>IF(Psychologia!I82&gt;0,Psychologia!I82," ")</f>
        <v>Psychofarmakologia</v>
      </c>
      <c r="J82" s="372">
        <f>Psychologia!Y82+Psychologia!AV82</f>
        <v>50</v>
      </c>
      <c r="K82" s="373">
        <f>Psychologia!AS82+Psychologia!BP82</f>
        <v>30</v>
      </c>
      <c r="L82" s="374">
        <f>Psychologia!Z82+Psychologia!AW82</f>
        <v>20</v>
      </c>
      <c r="M82" s="375">
        <f>Psychologia!AB82+Psychologia!AD82+Psychologia!AY82+Psychologia!BA82</f>
        <v>10</v>
      </c>
      <c r="N82" s="376">
        <f>Psychologia!AA82+Psychologia!AX82</f>
        <v>20</v>
      </c>
      <c r="O82" s="377">
        <f>Psychologia!X82+Psychologia!AU82</f>
        <v>2</v>
      </c>
      <c r="P82" s="378" t="str">
        <f>IF(Psychologia!V82&gt;0,Psychologia!V82," ")</f>
        <v>zal/o</v>
      </c>
      <c r="Q82" s="389">
        <f t="shared" ref="Q82:Q103" si="31">SUM(T82:AE82)</f>
        <v>2</v>
      </c>
      <c r="R82" s="390">
        <f t="shared" ref="R82:R103" si="32">SUM(AF82:BG82)</f>
        <v>2</v>
      </c>
      <c r="S82" s="394">
        <f t="shared" ref="S82:S103" si="33">SUM(BH82:BP82)</f>
        <v>1</v>
      </c>
      <c r="T82" s="132"/>
      <c r="U82" s="131"/>
      <c r="V82" s="131"/>
      <c r="W82" s="131"/>
      <c r="X82" s="131"/>
      <c r="Y82" s="131">
        <v>1</v>
      </c>
      <c r="Z82" s="131"/>
      <c r="AA82" s="131">
        <v>1</v>
      </c>
      <c r="AB82" s="131"/>
      <c r="AC82" s="131"/>
      <c r="AD82" s="131"/>
      <c r="AE82" s="133"/>
      <c r="AF82" s="132"/>
      <c r="AG82" s="131"/>
      <c r="AH82" s="131"/>
      <c r="AI82" s="131"/>
      <c r="AJ82" s="131"/>
      <c r="AK82" s="131"/>
      <c r="AL82" s="131"/>
      <c r="AM82" s="131"/>
      <c r="AN82" s="131"/>
      <c r="AO82" s="131"/>
      <c r="AP82" s="131"/>
      <c r="AQ82" s="131"/>
      <c r="AR82" s="131"/>
      <c r="AS82" s="131"/>
      <c r="AT82" s="131"/>
      <c r="AU82" s="131"/>
      <c r="AV82" s="131"/>
      <c r="AW82" s="131"/>
      <c r="AX82" s="131"/>
      <c r="AY82" s="131"/>
      <c r="AZ82" s="131"/>
      <c r="BA82" s="131">
        <v>1</v>
      </c>
      <c r="BB82" s="131">
        <v>1</v>
      </c>
      <c r="BC82" s="131"/>
      <c r="BD82" s="131"/>
      <c r="BE82" s="131"/>
      <c r="BF82" s="131"/>
      <c r="BG82" s="133"/>
      <c r="BH82" s="131"/>
      <c r="BI82" s="131"/>
      <c r="BJ82" s="131"/>
      <c r="BK82" s="131"/>
      <c r="BL82" s="131">
        <v>1</v>
      </c>
      <c r="BM82" s="131"/>
      <c r="BN82" s="131"/>
      <c r="BO82" s="131"/>
      <c r="BP82" s="131"/>
    </row>
    <row r="83" spans="1:68" s="44" customFormat="1" ht="101.25" customHeight="1" x14ac:dyDescent="0.25">
      <c r="A83" s="46">
        <f>Psychologia!A83</f>
        <v>61</v>
      </c>
      <c r="B83" s="127" t="str">
        <f>IF(Psychologia!B83&gt;0,Psychologia!B83," ")</f>
        <v xml:space="preserve"> </v>
      </c>
      <c r="C83" s="128" t="str">
        <f>IF(Psychologia!C83&gt;0,Psychologia!C83," ")</f>
        <v>2026/2027</v>
      </c>
      <c r="D83" s="128" t="str">
        <f>IF(Psychologia!D83&gt;0,Psychologia!D83," ")</f>
        <v xml:space="preserve"> </v>
      </c>
      <c r="E83" s="127">
        <f>IF(Psychologia!E83&gt;0,Psychologia!E83," ")</f>
        <v>4</v>
      </c>
      <c r="F83" s="32" t="str">
        <f>IF(Psychologia!F83&gt;0,Psychologia!F83," ")</f>
        <v>2029/2030</v>
      </c>
      <c r="G83" s="32" t="str">
        <f>IF(Psychologia!G83&gt;0,Psychologia!G83," ")</f>
        <v>POW</v>
      </c>
      <c r="H83" s="122" t="str">
        <f>IF(Psychologia!H83&gt;0,Psychologia!H83," ")</f>
        <v xml:space="preserve"> </v>
      </c>
      <c r="I83" s="599" t="str">
        <f>IF(Psychologia!I83&gt;0,Psychologia!I83," ")</f>
        <v>Przedmiot fakultatywny 7: Trening komunikacji międzykulturowej  / Psychoseksuologia (PK) / Terapia perfekcjonizmu w podejściu poznawczo – behawioralnym (PZ)</v>
      </c>
      <c r="J83" s="372">
        <f>Psychologia!Y83+Psychologia!AV83</f>
        <v>50</v>
      </c>
      <c r="K83" s="373">
        <f>Psychologia!AS83+Psychologia!BP83</f>
        <v>10</v>
      </c>
      <c r="L83" s="374">
        <f>Psychologia!Z83+Psychologia!AW83</f>
        <v>40</v>
      </c>
      <c r="M83" s="375">
        <f>Psychologia!AB83+Psychologia!AD83+Psychologia!AY83+Psychologia!BA83</f>
        <v>0</v>
      </c>
      <c r="N83" s="376">
        <f>Psychologia!AA83+Psychologia!AX83</f>
        <v>40</v>
      </c>
      <c r="O83" s="377">
        <f>Psychologia!X83+Psychologia!AU83</f>
        <v>2</v>
      </c>
      <c r="P83" s="378" t="str">
        <f>IF(Psychologia!V83&gt;0,Psychologia!V83," ")</f>
        <v>zal/o</v>
      </c>
      <c r="Q83" s="389">
        <f t="shared" si="31"/>
        <v>0</v>
      </c>
      <c r="R83" s="390">
        <f t="shared" si="32"/>
        <v>0</v>
      </c>
      <c r="S83" s="394">
        <f t="shared" si="33"/>
        <v>0</v>
      </c>
      <c r="T83" s="132"/>
      <c r="U83" s="131"/>
      <c r="V83" s="131"/>
      <c r="W83" s="131"/>
      <c r="X83" s="131"/>
      <c r="Y83" s="131"/>
      <c r="Z83" s="131"/>
      <c r="AA83" s="131"/>
      <c r="AB83" s="131"/>
      <c r="AC83" s="131"/>
      <c r="AD83" s="131"/>
      <c r="AE83" s="133"/>
      <c r="AF83" s="132"/>
      <c r="AG83" s="131"/>
      <c r="AH83" s="131"/>
      <c r="AI83" s="131"/>
      <c r="AJ83" s="131"/>
      <c r="AK83" s="131"/>
      <c r="AL83" s="131"/>
      <c r="AM83" s="131"/>
      <c r="AN83" s="131"/>
      <c r="AO83" s="131"/>
      <c r="AP83" s="131"/>
      <c r="AQ83" s="131"/>
      <c r="AR83" s="131"/>
      <c r="AS83" s="131"/>
      <c r="AT83" s="131"/>
      <c r="AU83" s="131"/>
      <c r="AV83" s="131"/>
      <c r="AW83" s="131"/>
      <c r="AX83" s="131"/>
      <c r="AY83" s="131"/>
      <c r="AZ83" s="131"/>
      <c r="BA83" s="131"/>
      <c r="BB83" s="131"/>
      <c r="BC83" s="131"/>
      <c r="BD83" s="131"/>
      <c r="BE83" s="131"/>
      <c r="BF83" s="131"/>
      <c r="BG83" s="133"/>
      <c r="BH83" s="131"/>
      <c r="BI83" s="131"/>
      <c r="BJ83" s="131"/>
      <c r="BK83" s="131"/>
      <c r="BL83" s="131"/>
      <c r="BM83" s="131"/>
      <c r="BN83" s="131"/>
      <c r="BO83" s="131"/>
      <c r="BP83" s="131"/>
    </row>
    <row r="84" spans="1:68" s="44" customFormat="1" ht="48" customHeight="1" x14ac:dyDescent="0.25">
      <c r="A84" s="46">
        <f>Psychologia!A84</f>
        <v>62</v>
      </c>
      <c r="B84" s="127" t="str">
        <f>IF(Psychologia!B84&gt;0,Psychologia!B84," ")</f>
        <v xml:space="preserve"> </v>
      </c>
      <c r="C84" s="128" t="str">
        <f>IF(Psychologia!C84&gt;0,Psychologia!C84," ")</f>
        <v>2026/2027</v>
      </c>
      <c r="D84" s="128" t="str">
        <f>IF(Psychologia!D84&gt;0,Psychologia!D84," ")</f>
        <v xml:space="preserve"> </v>
      </c>
      <c r="E84" s="127">
        <f>IF(Psychologia!E84&gt;0,Psychologia!E84," ")</f>
        <v>4</v>
      </c>
      <c r="F84" s="32" t="str">
        <f>IF(Psychologia!F84&gt;0,Psychologia!F84," ")</f>
        <v>2029/2030</v>
      </c>
      <c r="G84" s="32" t="str">
        <f>IF(Psychologia!G84&gt;0,Psychologia!G84," ")</f>
        <v>POW</v>
      </c>
      <c r="H84" s="122" t="str">
        <f>IF(Psychologia!H84&gt;0,Psychologia!H84," ")</f>
        <v xml:space="preserve"> </v>
      </c>
      <c r="I84" s="599" t="str">
        <f>IF(Psychologia!I84&gt;0,Psychologia!I84," ")</f>
        <v>Przedmiot fakultatywny 8:  Podstawy marketingu / Psychologia zwycięstwa</v>
      </c>
      <c r="J84" s="372">
        <f>Psychologia!Y84+Psychologia!AV84</f>
        <v>75</v>
      </c>
      <c r="K84" s="373">
        <f>Psychologia!AS84+Psychologia!BP84</f>
        <v>15</v>
      </c>
      <c r="L84" s="374">
        <f>Psychologia!Z84+Psychologia!AW84</f>
        <v>60</v>
      </c>
      <c r="M84" s="375">
        <f>Psychologia!AB84+Psychologia!AD84+Psychologia!AY84+Psychologia!BA84</f>
        <v>20</v>
      </c>
      <c r="N84" s="376">
        <f>Psychologia!AA84+Psychologia!AX84</f>
        <v>60</v>
      </c>
      <c r="O84" s="377">
        <f>Psychologia!X84+Psychologia!AU84</f>
        <v>3</v>
      </c>
      <c r="P84" s="378" t="str">
        <f>IF(Psychologia!V84&gt;0,Psychologia!V84," ")</f>
        <v>zal/o</v>
      </c>
      <c r="Q84" s="389">
        <f t="shared" si="31"/>
        <v>0</v>
      </c>
      <c r="R84" s="390">
        <f t="shared" si="32"/>
        <v>0</v>
      </c>
      <c r="S84" s="394">
        <f t="shared" si="33"/>
        <v>0</v>
      </c>
      <c r="T84" s="132"/>
      <c r="U84" s="131"/>
      <c r="V84" s="131"/>
      <c r="W84" s="131"/>
      <c r="X84" s="131"/>
      <c r="Y84" s="131"/>
      <c r="Z84" s="131"/>
      <c r="AA84" s="131"/>
      <c r="AB84" s="131"/>
      <c r="AC84" s="131"/>
      <c r="AD84" s="131"/>
      <c r="AE84" s="133"/>
      <c r="AF84" s="132"/>
      <c r="AG84" s="131"/>
      <c r="AH84" s="131"/>
      <c r="AI84" s="131"/>
      <c r="AJ84" s="131"/>
      <c r="AK84" s="131"/>
      <c r="AL84" s="131"/>
      <c r="AM84" s="131"/>
      <c r="AN84" s="131"/>
      <c r="AO84" s="131"/>
      <c r="AP84" s="131"/>
      <c r="AQ84" s="131"/>
      <c r="AR84" s="131"/>
      <c r="AS84" s="131"/>
      <c r="AT84" s="131"/>
      <c r="AU84" s="131"/>
      <c r="AV84" s="131"/>
      <c r="AW84" s="131"/>
      <c r="AX84" s="131"/>
      <c r="AY84" s="131"/>
      <c r="AZ84" s="131"/>
      <c r="BA84" s="131"/>
      <c r="BB84" s="131"/>
      <c r="BC84" s="131"/>
      <c r="BD84" s="131"/>
      <c r="BE84" s="131"/>
      <c r="BF84" s="131"/>
      <c r="BG84" s="133"/>
      <c r="BH84" s="131"/>
      <c r="BI84" s="131"/>
      <c r="BJ84" s="131"/>
      <c r="BK84" s="131"/>
      <c r="BL84" s="131"/>
      <c r="BM84" s="131"/>
      <c r="BN84" s="131"/>
      <c r="BO84" s="131"/>
      <c r="BP84" s="131"/>
    </row>
    <row r="85" spans="1:68" s="44" customFormat="1" ht="74.25" customHeight="1" x14ac:dyDescent="0.25">
      <c r="A85" s="46">
        <f>Psychologia!A85</f>
        <v>63</v>
      </c>
      <c r="B85" s="127" t="str">
        <f>IF(Psychologia!B85&gt;0,Psychologia!B85," ")</f>
        <v xml:space="preserve"> </v>
      </c>
      <c r="C85" s="128" t="str">
        <f>IF(Psychologia!C85&gt;0,Psychologia!C85," ")</f>
        <v>2026/2027</v>
      </c>
      <c r="D85" s="128" t="str">
        <f>IF(Psychologia!D85&gt;0,Psychologia!D85," ")</f>
        <v xml:space="preserve"> </v>
      </c>
      <c r="E85" s="127">
        <f>IF(Psychologia!E85&gt;0,Psychologia!E85," ")</f>
        <v>4</v>
      </c>
      <c r="F85" s="32" t="str">
        <f>IF(Psychologia!F85&gt;0,Psychologia!F85," ")</f>
        <v>2029/2030</v>
      </c>
      <c r="G85" s="32" t="str">
        <f>IF(Psychologia!G85&gt;0,Psychologia!G85," ")</f>
        <v>POW</v>
      </c>
      <c r="H85" s="122" t="str">
        <f>IF(Psychologia!H85&gt;0,Psychologia!H85," ")</f>
        <v xml:space="preserve"> </v>
      </c>
      <c r="I85" s="599" t="str">
        <f>IF(Psychologia!I85&gt;0,Psychologia!I85," ")</f>
        <v>Przedmiot fakultatywny 9: Podstawy psychoterapii zaburzeń odżywiania / Podstawy terapii DBT</v>
      </c>
      <c r="J85" s="372">
        <f>Psychologia!Y85+Psychologia!AV85</f>
        <v>100</v>
      </c>
      <c r="K85" s="373">
        <f>Psychologia!AS85+Psychologia!BP85</f>
        <v>40</v>
      </c>
      <c r="L85" s="374">
        <f>Psychologia!Z85+Psychologia!AW85</f>
        <v>60</v>
      </c>
      <c r="M85" s="375">
        <f>Psychologia!AB85+Psychologia!AD85+Psychologia!AY85+Psychologia!BA85</f>
        <v>10</v>
      </c>
      <c r="N85" s="376">
        <f>Psychologia!AA85+Psychologia!AX85</f>
        <v>60</v>
      </c>
      <c r="O85" s="377">
        <f>Psychologia!X85+Psychologia!AU85</f>
        <v>4</v>
      </c>
      <c r="P85" s="378" t="str">
        <f>IF(Psychologia!V85&gt;0,Psychologia!V85," ")</f>
        <v>zal/o</v>
      </c>
      <c r="Q85" s="389">
        <f t="shared" si="31"/>
        <v>0</v>
      </c>
      <c r="R85" s="390">
        <f t="shared" si="32"/>
        <v>0</v>
      </c>
      <c r="S85" s="394">
        <f t="shared" si="33"/>
        <v>0</v>
      </c>
      <c r="T85" s="132"/>
      <c r="U85" s="131"/>
      <c r="V85" s="131"/>
      <c r="W85" s="131"/>
      <c r="X85" s="131"/>
      <c r="Y85" s="131"/>
      <c r="Z85" s="131"/>
      <c r="AA85" s="131"/>
      <c r="AB85" s="131"/>
      <c r="AC85" s="131"/>
      <c r="AD85" s="131"/>
      <c r="AE85" s="133"/>
      <c r="AF85" s="132"/>
      <c r="AG85" s="131"/>
      <c r="AH85" s="131"/>
      <c r="AI85" s="131"/>
      <c r="AJ85" s="131"/>
      <c r="AK85" s="131"/>
      <c r="AL85" s="131"/>
      <c r="AM85" s="131"/>
      <c r="AN85" s="131"/>
      <c r="AO85" s="131"/>
      <c r="AP85" s="131"/>
      <c r="AQ85" s="131"/>
      <c r="AR85" s="131"/>
      <c r="AS85" s="131"/>
      <c r="AT85" s="131"/>
      <c r="AU85" s="131"/>
      <c r="AV85" s="131"/>
      <c r="AW85" s="131"/>
      <c r="AX85" s="131"/>
      <c r="AY85" s="131"/>
      <c r="AZ85" s="131"/>
      <c r="BA85" s="131"/>
      <c r="BB85" s="131"/>
      <c r="BC85" s="131"/>
      <c r="BD85" s="131"/>
      <c r="BE85" s="131"/>
      <c r="BF85" s="131"/>
      <c r="BG85" s="133"/>
      <c r="BH85" s="131"/>
      <c r="BI85" s="131"/>
      <c r="BJ85" s="131"/>
      <c r="BK85" s="131"/>
      <c r="BL85" s="131"/>
      <c r="BM85" s="131"/>
      <c r="BN85" s="131"/>
      <c r="BO85" s="131"/>
      <c r="BP85" s="131"/>
    </row>
    <row r="86" spans="1:68" s="44" customFormat="1" ht="32.25" customHeight="1" x14ac:dyDescent="0.25">
      <c r="A86" s="46">
        <f>Psychologia!A86</f>
        <v>64</v>
      </c>
      <c r="B86" s="127" t="str">
        <f>IF(Psychologia!B86&gt;0,Psychologia!B86," ")</f>
        <v xml:space="preserve"> </v>
      </c>
      <c r="C86" s="128" t="str">
        <f>IF(Psychologia!C86&gt;0,Psychologia!C86," ")</f>
        <v>2026/2027</v>
      </c>
      <c r="D86" s="128" t="str">
        <f>IF(Psychologia!D86&gt;0,Psychologia!D86," ")</f>
        <v xml:space="preserve"> </v>
      </c>
      <c r="E86" s="127">
        <f>IF(Psychologia!E86&gt;0,Psychologia!E86," ")</f>
        <v>4</v>
      </c>
      <c r="F86" s="32" t="str">
        <f>IF(Psychologia!F86&gt;0,Psychologia!F86," ")</f>
        <v>2029/2030</v>
      </c>
      <c r="G86" s="32" t="str">
        <f>IF(Psychologia!G86&gt;0,Psychologia!G86," ")</f>
        <v>RPS</v>
      </c>
      <c r="H86" s="122" t="str">
        <f>IF(Psychologia!H86&gt;0,Psychologia!H86," ")</f>
        <v xml:space="preserve"> </v>
      </c>
      <c r="I86" s="604" t="str">
        <f>IF(Psychologia!I86&gt;0,Psychologia!I86," ")</f>
        <v>Praktyki zawodowe w zakresie klinicznej diagnozy psychologicznej dzieci i młodzieży</v>
      </c>
      <c r="J86" s="372">
        <f>Psychologia!Y86+Psychologia!AV86</f>
        <v>160</v>
      </c>
      <c r="K86" s="373">
        <f>Psychologia!AS86+Psychologia!BP86</f>
        <v>0</v>
      </c>
      <c r="L86" s="374">
        <f>Psychologia!Z86+Psychologia!AW86</f>
        <v>160</v>
      </c>
      <c r="M86" s="375">
        <f>Psychologia!AB86+Psychologia!AD86+Psychologia!AY86+Psychologia!BA86</f>
        <v>0</v>
      </c>
      <c r="N86" s="376">
        <f>Psychologia!AA86+Psychologia!AX86</f>
        <v>160</v>
      </c>
      <c r="O86" s="377">
        <f>Psychologia!X86+Psychologia!AU86</f>
        <v>6</v>
      </c>
      <c r="P86" s="378" t="str">
        <f>IF(Psychologia!V86&gt;0,Psychologia!V86," ")</f>
        <v>zal/o</v>
      </c>
      <c r="Q86" s="389">
        <f t="shared" si="31"/>
        <v>0</v>
      </c>
      <c r="R86" s="390">
        <f t="shared" si="32"/>
        <v>18</v>
      </c>
      <c r="S86" s="394">
        <f t="shared" si="33"/>
        <v>5</v>
      </c>
      <c r="T86" s="132"/>
      <c r="U86" s="131"/>
      <c r="V86" s="131"/>
      <c r="W86" s="131"/>
      <c r="X86" s="131"/>
      <c r="Y86" s="131"/>
      <c r="Z86" s="131"/>
      <c r="AA86" s="131"/>
      <c r="AB86" s="131"/>
      <c r="AC86" s="131"/>
      <c r="AD86" s="131"/>
      <c r="AE86" s="133"/>
      <c r="AF86" s="132"/>
      <c r="AG86" s="131"/>
      <c r="AH86" s="131"/>
      <c r="AI86" s="131">
        <v>1</v>
      </c>
      <c r="AJ86" s="131"/>
      <c r="AK86" s="131">
        <v>1</v>
      </c>
      <c r="AL86" s="131">
        <v>1</v>
      </c>
      <c r="AM86" s="131">
        <v>1</v>
      </c>
      <c r="AN86" s="131"/>
      <c r="AO86" s="131">
        <v>1</v>
      </c>
      <c r="AP86" s="131">
        <v>1</v>
      </c>
      <c r="AQ86" s="131"/>
      <c r="AR86" s="131"/>
      <c r="AS86" s="131">
        <v>1</v>
      </c>
      <c r="AT86" s="131">
        <v>1</v>
      </c>
      <c r="AU86" s="131">
        <v>1</v>
      </c>
      <c r="AV86" s="131"/>
      <c r="AW86" s="131"/>
      <c r="AX86" s="131">
        <v>1</v>
      </c>
      <c r="AY86" s="131">
        <v>1</v>
      </c>
      <c r="AZ86" s="131">
        <v>1</v>
      </c>
      <c r="BA86" s="131">
        <v>1</v>
      </c>
      <c r="BB86" s="131">
        <v>1</v>
      </c>
      <c r="BC86" s="131">
        <v>1</v>
      </c>
      <c r="BD86" s="131">
        <v>1</v>
      </c>
      <c r="BE86" s="131"/>
      <c r="BF86" s="131">
        <v>1</v>
      </c>
      <c r="BG86" s="133">
        <v>1</v>
      </c>
      <c r="BH86" s="131"/>
      <c r="BI86" s="131">
        <v>1</v>
      </c>
      <c r="BJ86" s="131"/>
      <c r="BK86" s="131">
        <v>1</v>
      </c>
      <c r="BL86" s="131"/>
      <c r="BM86" s="131">
        <v>1</v>
      </c>
      <c r="BN86" s="131">
        <v>1</v>
      </c>
      <c r="BO86" s="131"/>
      <c r="BP86" s="131">
        <v>1</v>
      </c>
    </row>
    <row r="87" spans="1:68" s="44" customFormat="1" ht="32.25" customHeight="1" x14ac:dyDescent="0.25">
      <c r="A87" s="46">
        <f>Psychologia!A87</f>
        <v>65</v>
      </c>
      <c r="B87" s="127" t="str">
        <f>IF(Psychologia!B87&gt;0,Psychologia!B87," ")</f>
        <v xml:space="preserve"> </v>
      </c>
      <c r="C87" s="128" t="str">
        <f>IF(Psychologia!C87&gt;0,Psychologia!C87," ")</f>
        <v>2026/2027</v>
      </c>
      <c r="D87" s="128" t="str">
        <f>IF(Psychologia!D87&gt;0,Psychologia!D87," ")</f>
        <v xml:space="preserve"> </v>
      </c>
      <c r="E87" s="127">
        <f>IF(Psychologia!E87&gt;0,Psychologia!E87," ")</f>
        <v>4</v>
      </c>
      <c r="F87" s="32" t="str">
        <f>IF(Psychologia!F87&gt;0,Psychologia!F87," ")</f>
        <v>2029/2030</v>
      </c>
      <c r="G87" s="32" t="str">
        <f>IF(Psychologia!G87&gt;0,Psychologia!G87," ")</f>
        <v>RPS</v>
      </c>
      <c r="H87" s="122" t="str">
        <f>IF(Psychologia!H87&gt;0,Psychologia!H87," ")</f>
        <v xml:space="preserve"> </v>
      </c>
      <c r="I87" s="604" t="str">
        <f>IF(Psychologia!I87&gt;0,Psychologia!I87," ")</f>
        <v>Praktyki zawodowe w zakresie neuropsychologii</v>
      </c>
      <c r="J87" s="372">
        <f>Psychologia!Y87+Psychologia!AV87</f>
        <v>160</v>
      </c>
      <c r="K87" s="373">
        <f>Psychologia!AS87+Psychologia!BP87</f>
        <v>0</v>
      </c>
      <c r="L87" s="374">
        <f>Psychologia!Z87+Psychologia!AW87</f>
        <v>160</v>
      </c>
      <c r="M87" s="375">
        <f>Psychologia!AB87+Psychologia!AD87+Psychologia!AY87+Psychologia!BA87</f>
        <v>0</v>
      </c>
      <c r="N87" s="376">
        <f>Psychologia!AA87+Psychologia!AX87</f>
        <v>160</v>
      </c>
      <c r="O87" s="377">
        <f>Psychologia!X87+Psychologia!AU87</f>
        <v>6</v>
      </c>
      <c r="P87" s="378" t="str">
        <f>IF(Psychologia!V87&gt;0,Psychologia!V87," ")</f>
        <v>zal/o</v>
      </c>
      <c r="Q87" s="389">
        <f t="shared" si="31"/>
        <v>0</v>
      </c>
      <c r="R87" s="390">
        <f t="shared" si="32"/>
        <v>17</v>
      </c>
      <c r="S87" s="394">
        <f t="shared" si="33"/>
        <v>5</v>
      </c>
      <c r="T87" s="132"/>
      <c r="U87" s="131"/>
      <c r="V87" s="131"/>
      <c r="W87" s="131"/>
      <c r="X87" s="131"/>
      <c r="Y87" s="131"/>
      <c r="Z87" s="131"/>
      <c r="AA87" s="131"/>
      <c r="AB87" s="131"/>
      <c r="AC87" s="131"/>
      <c r="AD87" s="131"/>
      <c r="AE87" s="133"/>
      <c r="AF87" s="132"/>
      <c r="AG87" s="131"/>
      <c r="AH87" s="131"/>
      <c r="AI87" s="131">
        <v>1</v>
      </c>
      <c r="AJ87" s="131"/>
      <c r="AK87" s="131">
        <v>1</v>
      </c>
      <c r="AL87" s="131">
        <v>1</v>
      </c>
      <c r="AM87" s="131">
        <v>1</v>
      </c>
      <c r="AN87" s="131"/>
      <c r="AO87" s="131">
        <v>1</v>
      </c>
      <c r="AP87" s="131">
        <v>1</v>
      </c>
      <c r="AQ87" s="131"/>
      <c r="AR87" s="131"/>
      <c r="AS87" s="131">
        <v>1</v>
      </c>
      <c r="AT87" s="131">
        <v>1</v>
      </c>
      <c r="AU87" s="131"/>
      <c r="AV87" s="131"/>
      <c r="AW87" s="131"/>
      <c r="AX87" s="131">
        <v>1</v>
      </c>
      <c r="AY87" s="131">
        <v>1</v>
      </c>
      <c r="AZ87" s="131">
        <v>1</v>
      </c>
      <c r="BA87" s="131">
        <v>1</v>
      </c>
      <c r="BB87" s="131">
        <v>1</v>
      </c>
      <c r="BC87" s="131">
        <v>1</v>
      </c>
      <c r="BD87" s="131">
        <v>1</v>
      </c>
      <c r="BE87" s="131"/>
      <c r="BF87" s="131">
        <v>1</v>
      </c>
      <c r="BG87" s="133">
        <v>1</v>
      </c>
      <c r="BH87" s="131"/>
      <c r="BI87" s="131">
        <v>1</v>
      </c>
      <c r="BJ87" s="131"/>
      <c r="BK87" s="131">
        <v>1</v>
      </c>
      <c r="BL87" s="131"/>
      <c r="BM87" s="131">
        <v>1</v>
      </c>
      <c r="BN87" s="131">
        <v>1</v>
      </c>
      <c r="BO87" s="131"/>
      <c r="BP87" s="131">
        <v>1</v>
      </c>
    </row>
    <row r="88" spans="1:68" s="44" customFormat="1" ht="32.25" customHeight="1" x14ac:dyDescent="0.25">
      <c r="A88" s="46">
        <f>Psychologia!A88</f>
        <v>66</v>
      </c>
      <c r="B88" s="127" t="str">
        <f>IF(Psychologia!B88&gt;0,Psychologia!B88," ")</f>
        <v xml:space="preserve"> </v>
      </c>
      <c r="C88" s="128" t="str">
        <f>IF(Psychologia!C88&gt;0,Psychologia!C88," ")</f>
        <v>2026/2027</v>
      </c>
      <c r="D88" s="128" t="str">
        <f>IF(Psychologia!D88&gt;0,Psychologia!D88," ")</f>
        <v xml:space="preserve"> </v>
      </c>
      <c r="E88" s="127">
        <f>IF(Psychologia!E88&gt;0,Psychologia!E88," ")</f>
        <v>4</v>
      </c>
      <c r="F88" s="32" t="str">
        <f>IF(Psychologia!F88&gt;0,Psychologia!F88," ")</f>
        <v>2029/2030</v>
      </c>
      <c r="G88" s="32" t="str">
        <f>IF(Psychologia!G88&gt;0,Psychologia!G88," ")</f>
        <v>PSW</v>
      </c>
      <c r="H88" s="122" t="str">
        <f>IF(Psychologia!H88&gt;0,Psychologia!H88," ")</f>
        <v xml:space="preserve"> </v>
      </c>
      <c r="I88" s="122" t="str">
        <f>IF(Psychologia!I88&gt;0,Psychologia!I88," ")</f>
        <v>Seminarium magisterskie I</v>
      </c>
      <c r="J88" s="372">
        <f>Psychologia!Y88+Psychologia!AV88</f>
        <v>125</v>
      </c>
      <c r="K88" s="373">
        <f>Psychologia!AS88+Psychologia!BP88</f>
        <v>95</v>
      </c>
      <c r="L88" s="374">
        <f>Psychologia!Z88+Psychologia!AW88</f>
        <v>30</v>
      </c>
      <c r="M88" s="375">
        <f>Psychologia!AB88+Psychologia!AD88+Psychologia!AY88+Psychologia!BA88</f>
        <v>30</v>
      </c>
      <c r="N88" s="376">
        <f>Psychologia!AA88+Psychologia!AX88</f>
        <v>30</v>
      </c>
      <c r="O88" s="377">
        <f>Psychologia!X88+Psychologia!AU88</f>
        <v>5</v>
      </c>
      <c r="P88" s="378" t="str">
        <f>IF(Psychologia!V88&gt;0,Psychologia!V88," ")</f>
        <v>zal/o</v>
      </c>
      <c r="Q88" s="389">
        <f t="shared" si="31"/>
        <v>3</v>
      </c>
      <c r="R88" s="390">
        <f t="shared" si="32"/>
        <v>4</v>
      </c>
      <c r="S88" s="394">
        <f t="shared" si="33"/>
        <v>2</v>
      </c>
      <c r="T88" s="132"/>
      <c r="U88" s="131">
        <v>1</v>
      </c>
      <c r="V88" s="131"/>
      <c r="W88" s="131">
        <v>1</v>
      </c>
      <c r="X88" s="131"/>
      <c r="Y88" s="131"/>
      <c r="Z88" s="131">
        <v>1</v>
      </c>
      <c r="AA88" s="131"/>
      <c r="AB88" s="131"/>
      <c r="AC88" s="131"/>
      <c r="AD88" s="131"/>
      <c r="AE88" s="133"/>
      <c r="AF88" s="132"/>
      <c r="AG88" s="131"/>
      <c r="AH88" s="131"/>
      <c r="AI88" s="131"/>
      <c r="AJ88" s="131"/>
      <c r="AK88" s="131"/>
      <c r="AL88" s="131"/>
      <c r="AM88" s="131"/>
      <c r="AN88" s="131"/>
      <c r="AO88" s="131"/>
      <c r="AP88" s="131"/>
      <c r="AQ88" s="131"/>
      <c r="AR88" s="131">
        <v>1</v>
      </c>
      <c r="AS88" s="131"/>
      <c r="AT88" s="131"/>
      <c r="AU88" s="131"/>
      <c r="AV88" s="131">
        <v>1</v>
      </c>
      <c r="AW88" s="131">
        <v>1</v>
      </c>
      <c r="AX88" s="131"/>
      <c r="AY88" s="131">
        <v>1</v>
      </c>
      <c r="AZ88" s="131"/>
      <c r="BA88" s="131"/>
      <c r="BB88" s="131"/>
      <c r="BC88" s="131"/>
      <c r="BD88" s="131"/>
      <c r="BE88" s="131"/>
      <c r="BF88" s="131"/>
      <c r="BG88" s="133"/>
      <c r="BH88" s="131">
        <v>1</v>
      </c>
      <c r="BI88" s="131"/>
      <c r="BJ88" s="131"/>
      <c r="BK88" s="131"/>
      <c r="BL88" s="131"/>
      <c r="BM88" s="131"/>
      <c r="BN88" s="131"/>
      <c r="BO88" s="131"/>
      <c r="BP88" s="131">
        <v>1</v>
      </c>
    </row>
    <row r="89" spans="1:68" s="44" customFormat="1" ht="32.25" customHeight="1" x14ac:dyDescent="0.25">
      <c r="A89" s="46">
        <f>Psychologia!A89</f>
        <v>67</v>
      </c>
      <c r="B89" s="127" t="str">
        <f>IF(Psychologia!B89&gt;0,Psychologia!B89," ")</f>
        <v xml:space="preserve"> </v>
      </c>
      <c r="C89" s="128" t="str">
        <f>IF(Psychologia!C89&gt;0,Psychologia!C89," ")</f>
        <v>2026/2027</v>
      </c>
      <c r="D89" s="128" t="str">
        <f>IF(Psychologia!D89&gt;0,Psychologia!D89," ")</f>
        <v xml:space="preserve"> </v>
      </c>
      <c r="E89" s="127">
        <f>IF(Psychologia!E89&gt;0,Psychologia!E89," ")</f>
        <v>4</v>
      </c>
      <c r="F89" s="32" t="str">
        <f>IF(Psychologia!F89&gt;0,Psychologia!F89," ")</f>
        <v>2029/2030</v>
      </c>
      <c r="G89" s="32" t="str">
        <f>IF(Psychologia!G89&gt;0,Psychologia!G89," ")</f>
        <v>PSW</v>
      </c>
      <c r="H89" s="122" t="str">
        <f>IF(Psychologia!H89&gt;0,Psychologia!H89," ")</f>
        <v xml:space="preserve"> </v>
      </c>
      <c r="I89" s="122" t="str">
        <f>IF(Psychologia!I89&gt;0,Psychologia!I89," ")</f>
        <v>Seminarium magisterskie II</v>
      </c>
      <c r="J89" s="372">
        <f>Psychologia!Y89+Psychologia!AV89</f>
        <v>125</v>
      </c>
      <c r="K89" s="373">
        <f>Psychologia!AS89+Psychologia!BP89</f>
        <v>95</v>
      </c>
      <c r="L89" s="374">
        <f>Psychologia!Z89+Psychologia!AW89</f>
        <v>30</v>
      </c>
      <c r="M89" s="375">
        <f>Psychologia!AB89+Psychologia!AD89+Psychologia!AY89+Psychologia!BA89</f>
        <v>30</v>
      </c>
      <c r="N89" s="376">
        <f>Psychologia!AA89+Psychologia!AX89</f>
        <v>30</v>
      </c>
      <c r="O89" s="377">
        <f>Psychologia!X89+Psychologia!AU89</f>
        <v>5</v>
      </c>
      <c r="P89" s="378" t="str">
        <f>IF(Psychologia!V89&gt;0,Psychologia!V89," ")</f>
        <v>zal/o</v>
      </c>
      <c r="Q89" s="389">
        <f t="shared" si="31"/>
        <v>3</v>
      </c>
      <c r="R89" s="390">
        <f t="shared" si="32"/>
        <v>6</v>
      </c>
      <c r="S89" s="394">
        <f t="shared" si="33"/>
        <v>2</v>
      </c>
      <c r="T89" s="132"/>
      <c r="U89" s="131">
        <v>1</v>
      </c>
      <c r="V89" s="131"/>
      <c r="W89" s="131">
        <v>1</v>
      </c>
      <c r="X89" s="131"/>
      <c r="Y89" s="131"/>
      <c r="Z89" s="131">
        <v>1</v>
      </c>
      <c r="AA89" s="131"/>
      <c r="AB89" s="131"/>
      <c r="AC89" s="131"/>
      <c r="AD89" s="131"/>
      <c r="AE89" s="133"/>
      <c r="AF89" s="132"/>
      <c r="AG89" s="131"/>
      <c r="AH89" s="131"/>
      <c r="AI89" s="131"/>
      <c r="AJ89" s="131"/>
      <c r="AK89" s="131"/>
      <c r="AL89" s="131"/>
      <c r="AM89" s="131">
        <v>1</v>
      </c>
      <c r="AN89" s="131"/>
      <c r="AO89" s="131"/>
      <c r="AP89" s="131"/>
      <c r="AQ89" s="131"/>
      <c r="AR89" s="131">
        <v>1</v>
      </c>
      <c r="AS89" s="131"/>
      <c r="AT89" s="131"/>
      <c r="AU89" s="131"/>
      <c r="AV89" s="131">
        <v>1</v>
      </c>
      <c r="AW89" s="131">
        <v>1</v>
      </c>
      <c r="AX89" s="131"/>
      <c r="AY89" s="131">
        <v>1</v>
      </c>
      <c r="AZ89" s="131"/>
      <c r="BA89" s="131"/>
      <c r="BB89" s="131"/>
      <c r="BC89" s="131"/>
      <c r="BD89" s="131"/>
      <c r="BE89" s="131">
        <v>1</v>
      </c>
      <c r="BF89" s="131"/>
      <c r="BG89" s="133"/>
      <c r="BH89" s="131">
        <v>1</v>
      </c>
      <c r="BI89" s="131"/>
      <c r="BJ89" s="131"/>
      <c r="BK89" s="131"/>
      <c r="BL89" s="131"/>
      <c r="BM89" s="131"/>
      <c r="BN89" s="131"/>
      <c r="BO89" s="131"/>
      <c r="BP89" s="131">
        <v>1</v>
      </c>
    </row>
    <row r="90" spans="1:68" s="44" customFormat="1" ht="27.75" customHeight="1" x14ac:dyDescent="0.25">
      <c r="A90" s="46">
        <f>Psychologia!A90</f>
        <v>68</v>
      </c>
      <c r="B90" s="127" t="str">
        <f>IF(Psychologia!B90&gt;0,Psychologia!B90," ")</f>
        <v xml:space="preserve"> </v>
      </c>
      <c r="C90" s="128" t="str">
        <f>IF(Psychologia!C90&gt;0,Psychologia!C90," ")</f>
        <v>2026/2027</v>
      </c>
      <c r="D90" s="128" t="str">
        <f>IF(Psychologia!D90&gt;0,Psychologia!D90," ")</f>
        <v>PK</v>
      </c>
      <c r="E90" s="127">
        <f>IF(Psychologia!E90&gt;0,Psychologia!E90," ")</f>
        <v>4</v>
      </c>
      <c r="F90" s="32" t="str">
        <f>IF(Psychologia!F90&gt;0,Psychologia!F90," ")</f>
        <v>2029/2030</v>
      </c>
      <c r="G90" s="32" t="str">
        <f>IF(Psychologia!G90&gt;0,Psychologia!G90," ")</f>
        <v>POW</v>
      </c>
      <c r="H90" s="122" t="str">
        <f>IF(Psychologia!H90&gt;0,Psychologia!H90," ")</f>
        <v xml:space="preserve"> </v>
      </c>
      <c r="I90" s="122" t="str">
        <f>IF(Psychologia!I90&gt;0,Psychologia!I90," ")</f>
        <v>Diagnoza neuropsychologiczna</v>
      </c>
      <c r="J90" s="372">
        <f>Psychologia!Y90+Psychologia!AV90</f>
        <v>75</v>
      </c>
      <c r="K90" s="373">
        <f>Psychologia!AS90+Psychologia!BP90</f>
        <v>15</v>
      </c>
      <c r="L90" s="374">
        <f>Psychologia!Z90+Psychologia!AW90</f>
        <v>60</v>
      </c>
      <c r="M90" s="375">
        <f>Psychologia!AB90+Psychologia!AD90+Psychologia!AY90+Psychologia!BA90</f>
        <v>10</v>
      </c>
      <c r="N90" s="376">
        <f>Psychologia!AA90+Psychologia!AX90</f>
        <v>60</v>
      </c>
      <c r="O90" s="377">
        <f>Psychologia!X90+Psychologia!AU90</f>
        <v>3</v>
      </c>
      <c r="P90" s="378" t="str">
        <f>IF(Psychologia!V90&gt;0,Psychologia!V90," ")</f>
        <v>egz</v>
      </c>
      <c r="Q90" s="389">
        <f t="shared" si="31"/>
        <v>2</v>
      </c>
      <c r="R90" s="390">
        <f t="shared" si="32"/>
        <v>11</v>
      </c>
      <c r="S90" s="394">
        <f t="shared" si="33"/>
        <v>1</v>
      </c>
      <c r="T90" s="132"/>
      <c r="U90" s="131"/>
      <c r="V90" s="131"/>
      <c r="W90" s="131"/>
      <c r="X90" s="131"/>
      <c r="Y90" s="131"/>
      <c r="Z90" s="131"/>
      <c r="AA90" s="131">
        <v>1</v>
      </c>
      <c r="AB90" s="131">
        <v>1</v>
      </c>
      <c r="AC90" s="131"/>
      <c r="AD90" s="131"/>
      <c r="AE90" s="133"/>
      <c r="AF90" s="132"/>
      <c r="AG90" s="131">
        <v>1</v>
      </c>
      <c r="AH90" s="131">
        <v>1</v>
      </c>
      <c r="AI90" s="131">
        <v>1</v>
      </c>
      <c r="AJ90" s="131"/>
      <c r="AK90" s="131"/>
      <c r="AL90" s="131"/>
      <c r="AM90" s="131">
        <v>1</v>
      </c>
      <c r="AN90" s="131"/>
      <c r="AO90" s="131">
        <v>1</v>
      </c>
      <c r="AP90" s="131"/>
      <c r="AQ90" s="131"/>
      <c r="AR90" s="131"/>
      <c r="AS90" s="131">
        <v>1</v>
      </c>
      <c r="AT90" s="131">
        <v>1</v>
      </c>
      <c r="AU90" s="131"/>
      <c r="AV90" s="131"/>
      <c r="AW90" s="131"/>
      <c r="AX90" s="131">
        <v>1</v>
      </c>
      <c r="AY90" s="131"/>
      <c r="AZ90" s="131">
        <v>1</v>
      </c>
      <c r="BA90" s="131"/>
      <c r="BB90" s="131">
        <v>1</v>
      </c>
      <c r="BC90" s="131"/>
      <c r="BD90" s="131"/>
      <c r="BE90" s="131"/>
      <c r="BF90" s="131">
        <v>1</v>
      </c>
      <c r="BG90" s="133"/>
      <c r="BH90" s="131"/>
      <c r="BI90" s="131"/>
      <c r="BJ90" s="131"/>
      <c r="BK90" s="131"/>
      <c r="BL90" s="131">
        <v>1</v>
      </c>
      <c r="BM90" s="131"/>
      <c r="BN90" s="131"/>
      <c r="BO90" s="131"/>
      <c r="BP90" s="131"/>
    </row>
    <row r="91" spans="1:68" s="44" customFormat="1" ht="27.75" customHeight="1" x14ac:dyDescent="0.25">
      <c r="A91" s="46">
        <f>Psychologia!A91</f>
        <v>69</v>
      </c>
      <c r="B91" s="127" t="str">
        <f>IF(Psychologia!B91&gt;0,Psychologia!B91," ")</f>
        <v xml:space="preserve"> </v>
      </c>
      <c r="C91" s="128" t="str">
        <f>IF(Psychologia!C91&gt;0,Psychologia!C91," ")</f>
        <v>2026/2027</v>
      </c>
      <c r="D91" s="128" t="str">
        <f>IF(Psychologia!D91&gt;0,Psychologia!D91," ")</f>
        <v>PK</v>
      </c>
      <c r="E91" s="127">
        <f>IF(Psychologia!E91&gt;0,Psychologia!E91," ")</f>
        <v>4</v>
      </c>
      <c r="F91" s="32" t="str">
        <f>IF(Psychologia!F91&gt;0,Psychologia!F91," ")</f>
        <v>2029/2030</v>
      </c>
      <c r="G91" s="32" t="str">
        <f>IF(Psychologia!G91&gt;0,Psychologia!G91," ")</f>
        <v>POW</v>
      </c>
      <c r="H91" s="122" t="str">
        <f>IF(Psychologia!H91&gt;0,Psychologia!H91," ")</f>
        <v xml:space="preserve"> </v>
      </c>
      <c r="I91" s="122" t="str">
        <f>IF(Psychologia!I91&gt;0,Psychologia!I91," ")</f>
        <v>Neuroobrazowanie w diagnozie psychologicznej</v>
      </c>
      <c r="J91" s="372">
        <f>Psychologia!Y91+Psychologia!AV91</f>
        <v>50</v>
      </c>
      <c r="K91" s="373">
        <f>Psychologia!AS91+Psychologia!BP91</f>
        <v>15</v>
      </c>
      <c r="L91" s="374">
        <f>Psychologia!Z91+Psychologia!AW91</f>
        <v>35</v>
      </c>
      <c r="M91" s="375">
        <f>Psychologia!AB91+Psychologia!AD91+Psychologia!AY91+Psychologia!BA91</f>
        <v>10</v>
      </c>
      <c r="N91" s="376">
        <f>Psychologia!AA91+Psychologia!AX91</f>
        <v>35</v>
      </c>
      <c r="O91" s="377">
        <f>Psychologia!X91+Psychologia!AU91</f>
        <v>2</v>
      </c>
      <c r="P91" s="378" t="str">
        <f>IF(Psychologia!V91&gt;0,Psychologia!V91," ")</f>
        <v>zal/o</v>
      </c>
      <c r="Q91" s="389">
        <f t="shared" si="31"/>
        <v>2</v>
      </c>
      <c r="R91" s="390">
        <f t="shared" si="32"/>
        <v>4</v>
      </c>
      <c r="S91" s="394">
        <f t="shared" si="33"/>
        <v>1</v>
      </c>
      <c r="T91" s="132"/>
      <c r="U91" s="131"/>
      <c r="V91" s="131"/>
      <c r="W91" s="131"/>
      <c r="X91" s="131"/>
      <c r="Y91" s="131">
        <v>1</v>
      </c>
      <c r="Z91" s="131"/>
      <c r="AA91" s="131">
        <v>1</v>
      </c>
      <c r="AB91" s="131"/>
      <c r="AC91" s="131"/>
      <c r="AD91" s="131"/>
      <c r="AE91" s="133"/>
      <c r="AF91" s="132">
        <v>1</v>
      </c>
      <c r="AG91" s="131"/>
      <c r="AH91" s="131"/>
      <c r="AI91" s="131"/>
      <c r="AJ91" s="131"/>
      <c r="AK91" s="131"/>
      <c r="AL91" s="131"/>
      <c r="AM91" s="131"/>
      <c r="AN91" s="131"/>
      <c r="AO91" s="131"/>
      <c r="AP91" s="131"/>
      <c r="AQ91" s="131"/>
      <c r="AR91" s="131"/>
      <c r="AS91" s="131"/>
      <c r="AT91" s="131"/>
      <c r="AU91" s="131"/>
      <c r="AV91" s="131"/>
      <c r="AW91" s="131"/>
      <c r="AX91" s="131"/>
      <c r="AY91" s="131"/>
      <c r="AZ91" s="131">
        <v>1</v>
      </c>
      <c r="BA91" s="131"/>
      <c r="BB91" s="131">
        <v>1</v>
      </c>
      <c r="BC91" s="131"/>
      <c r="BD91" s="131"/>
      <c r="BE91" s="131"/>
      <c r="BF91" s="131">
        <v>1</v>
      </c>
      <c r="BG91" s="133"/>
      <c r="BH91" s="131"/>
      <c r="BI91" s="131"/>
      <c r="BJ91" s="131"/>
      <c r="BK91" s="131"/>
      <c r="BL91" s="131">
        <v>1</v>
      </c>
      <c r="BM91" s="131"/>
      <c r="BN91" s="131"/>
      <c r="BO91" s="131"/>
      <c r="BP91" s="131"/>
    </row>
    <row r="92" spans="1:68" s="44" customFormat="1" ht="27.75" customHeight="1" x14ac:dyDescent="0.25">
      <c r="A92" s="46">
        <f>Psychologia!A92</f>
        <v>70</v>
      </c>
      <c r="B92" s="127" t="str">
        <f>IF(Psychologia!B92&gt;0,Psychologia!B92," ")</f>
        <v xml:space="preserve"> </v>
      </c>
      <c r="C92" s="128" t="str">
        <f>IF(Psychologia!C92&gt;0,Psychologia!C92," ")</f>
        <v>2026/2027</v>
      </c>
      <c r="D92" s="128" t="str">
        <f>IF(Psychologia!D92&gt;0,Psychologia!D92," ")</f>
        <v>PK</v>
      </c>
      <c r="E92" s="127">
        <f>IF(Psychologia!E92&gt;0,Psychologia!E92," ")</f>
        <v>4</v>
      </c>
      <c r="F92" s="32" t="str">
        <f>IF(Psychologia!F92&gt;0,Psychologia!F92," ")</f>
        <v>2029/2030</v>
      </c>
      <c r="G92" s="32" t="str">
        <f>IF(Psychologia!G92&gt;0,Psychologia!G92," ")</f>
        <v>POW</v>
      </c>
      <c r="H92" s="122" t="str">
        <f>IF(Psychologia!H92&gt;0,Psychologia!H92," ")</f>
        <v xml:space="preserve"> </v>
      </c>
      <c r="I92" s="122" t="str">
        <f>IF(Psychologia!I92&gt;0,Psychologia!I92," ")</f>
        <v>Podstawy psychologii sądowej</v>
      </c>
      <c r="J92" s="372">
        <f>Psychologia!Y92+Psychologia!AV92</f>
        <v>50</v>
      </c>
      <c r="K92" s="373">
        <f>Psychologia!AS92+Psychologia!BP92</f>
        <v>5</v>
      </c>
      <c r="L92" s="374">
        <f>Psychologia!Z92+Psychologia!AW92</f>
        <v>45</v>
      </c>
      <c r="M92" s="375">
        <f>Psychologia!AB92+Psychologia!AD92+Psychologia!AY92+Psychologia!BA92</f>
        <v>15</v>
      </c>
      <c r="N92" s="376">
        <f>Psychologia!AA92+Psychologia!AX92</f>
        <v>45</v>
      </c>
      <c r="O92" s="377">
        <f>Psychologia!X92+Psychologia!AU92</f>
        <v>2</v>
      </c>
      <c r="P92" s="378" t="str">
        <f>IF(Psychologia!V92&gt;0,Psychologia!V92," ")</f>
        <v>zal/o</v>
      </c>
      <c r="Q92" s="389">
        <f t="shared" si="31"/>
        <v>3</v>
      </c>
      <c r="R92" s="390">
        <f>SUM(AG92:BG92)</f>
        <v>4</v>
      </c>
      <c r="S92" s="394">
        <f t="shared" si="33"/>
        <v>2</v>
      </c>
      <c r="T92" s="132"/>
      <c r="U92" s="131">
        <v>1</v>
      </c>
      <c r="V92" s="131"/>
      <c r="W92" s="131"/>
      <c r="X92" s="131"/>
      <c r="Y92" s="131">
        <v>1</v>
      </c>
      <c r="Z92" s="131"/>
      <c r="AA92" s="131"/>
      <c r="AB92" s="131">
        <v>1</v>
      </c>
      <c r="AC92" s="131"/>
      <c r="AD92" s="131"/>
      <c r="AE92" s="133"/>
      <c r="AF92" s="45"/>
      <c r="AG92" s="131">
        <v>1</v>
      </c>
      <c r="AH92" s="131"/>
      <c r="AI92" s="131">
        <v>1</v>
      </c>
      <c r="AJ92" s="131"/>
      <c r="AK92" s="131"/>
      <c r="AL92" s="131"/>
      <c r="AM92" s="131"/>
      <c r="AN92" s="131"/>
      <c r="AO92" s="131">
        <v>1</v>
      </c>
      <c r="AP92" s="131"/>
      <c r="AQ92" s="131"/>
      <c r="AR92" s="131"/>
      <c r="AS92" s="131"/>
      <c r="AT92" s="131">
        <v>1</v>
      </c>
      <c r="AU92" s="131"/>
      <c r="AV92" s="131"/>
      <c r="AW92" s="131"/>
      <c r="AX92" s="131"/>
      <c r="AY92" s="131"/>
      <c r="AZ92" s="131"/>
      <c r="BA92" s="131"/>
      <c r="BB92" s="131"/>
      <c r="BC92" s="131"/>
      <c r="BD92" s="131"/>
      <c r="BE92" s="131"/>
      <c r="BF92" s="131"/>
      <c r="BG92" s="133"/>
      <c r="BH92" s="131"/>
      <c r="BI92" s="131">
        <v>1</v>
      </c>
      <c r="BJ92" s="131">
        <v>1</v>
      </c>
      <c r="BK92" s="131"/>
      <c r="BL92" s="131"/>
      <c r="BM92" s="131"/>
      <c r="BN92" s="131"/>
      <c r="BO92" s="131"/>
      <c r="BP92" s="131"/>
    </row>
    <row r="93" spans="1:68" s="44" customFormat="1" ht="32.25" customHeight="1" x14ac:dyDescent="0.25">
      <c r="A93" s="46">
        <f>Psychologia!A93</f>
        <v>71</v>
      </c>
      <c r="B93" s="127" t="str">
        <f>IF(Psychologia!B93&gt;0,Psychologia!B93," ")</f>
        <v xml:space="preserve"> </v>
      </c>
      <c r="C93" s="128" t="str">
        <f>IF(Psychologia!C93&gt;0,Psychologia!C93," ")</f>
        <v>2026/2027</v>
      </c>
      <c r="D93" s="128" t="str">
        <f>IF(Psychologia!D93&gt;0,Psychologia!D93," ")</f>
        <v>PK</v>
      </c>
      <c r="E93" s="127">
        <f>IF(Psychologia!E93&gt;0,Psychologia!E93," ")</f>
        <v>4</v>
      </c>
      <c r="F93" s="32" t="str">
        <f>IF(Psychologia!F93&gt;0,Psychologia!F93," ")</f>
        <v>2029/2030</v>
      </c>
      <c r="G93" s="32" t="str">
        <f>IF(Psychologia!G93&gt;0,Psychologia!G93," ")</f>
        <v>POW</v>
      </c>
      <c r="H93" s="122" t="str">
        <f>IF(Psychologia!H93&gt;0,Psychologia!H93," ")</f>
        <v xml:space="preserve"> </v>
      </c>
      <c r="I93" s="122" t="str">
        <f>IF(Psychologia!I93&gt;0,Psychologia!I93," ")</f>
        <v>Podstawy psychoterapii</v>
      </c>
      <c r="J93" s="372">
        <f>Psychologia!Y93+Psychologia!AV93</f>
        <v>75</v>
      </c>
      <c r="K93" s="373">
        <f>Psychologia!AS93+Psychologia!BP93</f>
        <v>25</v>
      </c>
      <c r="L93" s="374">
        <f>Psychologia!Z93+Psychologia!AW93</f>
        <v>50</v>
      </c>
      <c r="M93" s="375">
        <f>Psychologia!AB93+Psychologia!AD93+Psychologia!AY93+Psychologia!BA93</f>
        <v>10</v>
      </c>
      <c r="N93" s="376">
        <f>Psychologia!AA93+Psychologia!AX93</f>
        <v>50</v>
      </c>
      <c r="O93" s="377">
        <f>Psychologia!X93+Psychologia!AU93</f>
        <v>3</v>
      </c>
      <c r="P93" s="378" t="str">
        <f>IF(Psychologia!V93&gt;0,Psychologia!V93," ")</f>
        <v>egz</v>
      </c>
      <c r="Q93" s="389">
        <f t="shared" si="31"/>
        <v>1</v>
      </c>
      <c r="R93" s="390">
        <f t="shared" si="32"/>
        <v>5</v>
      </c>
      <c r="S93" s="394">
        <f t="shared" si="33"/>
        <v>3</v>
      </c>
      <c r="T93" s="132"/>
      <c r="U93" s="131"/>
      <c r="V93" s="131">
        <v>1</v>
      </c>
      <c r="W93" s="131"/>
      <c r="X93" s="131"/>
      <c r="Y93" s="131"/>
      <c r="Z93" s="131"/>
      <c r="AA93" s="131"/>
      <c r="AB93" s="131"/>
      <c r="AC93" s="131"/>
      <c r="AD93" s="131"/>
      <c r="AE93" s="133"/>
      <c r="AF93" s="132"/>
      <c r="AG93" s="131"/>
      <c r="AH93" s="131"/>
      <c r="AI93" s="131"/>
      <c r="AJ93" s="131">
        <v>1</v>
      </c>
      <c r="AK93" s="131">
        <v>1</v>
      </c>
      <c r="AL93" s="131"/>
      <c r="AM93" s="131"/>
      <c r="AN93" s="131">
        <v>1</v>
      </c>
      <c r="AO93" s="131"/>
      <c r="AP93" s="131"/>
      <c r="AQ93" s="131"/>
      <c r="AR93" s="131"/>
      <c r="AS93" s="131"/>
      <c r="AT93" s="131"/>
      <c r="AU93" s="131"/>
      <c r="AV93" s="131"/>
      <c r="AW93" s="131"/>
      <c r="AX93" s="131">
        <v>1</v>
      </c>
      <c r="AY93" s="131"/>
      <c r="AZ93" s="131"/>
      <c r="BA93" s="131"/>
      <c r="BB93" s="131"/>
      <c r="BC93" s="131"/>
      <c r="BD93" s="131"/>
      <c r="BE93" s="131"/>
      <c r="BF93" s="131"/>
      <c r="BG93" s="133">
        <v>1</v>
      </c>
      <c r="BH93" s="131"/>
      <c r="BI93" s="131">
        <v>1</v>
      </c>
      <c r="BJ93" s="131">
        <v>1</v>
      </c>
      <c r="BK93" s="131"/>
      <c r="BL93" s="131"/>
      <c r="BM93" s="131">
        <v>1</v>
      </c>
      <c r="BN93" s="131"/>
      <c r="BO93" s="131"/>
      <c r="BP93" s="131"/>
    </row>
    <row r="94" spans="1:68" s="44" customFormat="1" ht="32.25" customHeight="1" x14ac:dyDescent="0.25">
      <c r="A94" s="46">
        <f>Psychologia!A94</f>
        <v>72</v>
      </c>
      <c r="B94" s="127" t="str">
        <f>IF(Psychologia!B94&gt;0,Psychologia!B94," ")</f>
        <v xml:space="preserve"> </v>
      </c>
      <c r="C94" s="128" t="str">
        <f>IF(Psychologia!C94&gt;0,Psychologia!C94," ")</f>
        <v>2026/2027</v>
      </c>
      <c r="D94" s="128" t="str">
        <f>IF(Psychologia!D94&gt;0,Psychologia!D94," ")</f>
        <v>PK</v>
      </c>
      <c r="E94" s="127">
        <f>IF(Psychologia!E94&gt;0,Psychologia!E94," ")</f>
        <v>4</v>
      </c>
      <c r="F94" s="32" t="str">
        <f>IF(Psychologia!F94&gt;0,Psychologia!F94," ")</f>
        <v>2029/2030</v>
      </c>
      <c r="G94" s="32" t="str">
        <f>IF(Psychologia!G94&gt;0,Psychologia!G94," ")</f>
        <v>POW</v>
      </c>
      <c r="H94" s="122" t="str">
        <f>IF(Psychologia!H94&gt;0,Psychologia!H94," ")</f>
        <v xml:space="preserve"> </v>
      </c>
      <c r="I94" s="122" t="str">
        <f>IF(Psychologia!I94&gt;0,Psychologia!I94," ")</f>
        <v>Psychologia uzależnień</v>
      </c>
      <c r="J94" s="372">
        <f>Psychologia!Y94+Psychologia!AV94</f>
        <v>75</v>
      </c>
      <c r="K94" s="373">
        <f>Psychologia!AS94+Psychologia!BP94</f>
        <v>30</v>
      </c>
      <c r="L94" s="374">
        <f>Psychologia!Z94+Psychologia!AW94</f>
        <v>45</v>
      </c>
      <c r="M94" s="375">
        <f>Psychologia!AB94+Psychologia!AD94+Psychologia!AY94+Psychologia!BA94</f>
        <v>10</v>
      </c>
      <c r="N94" s="376">
        <f>Psychologia!AA94+Psychologia!AX94</f>
        <v>45</v>
      </c>
      <c r="O94" s="377">
        <f>Psychologia!X94+Psychologia!AU94</f>
        <v>3</v>
      </c>
      <c r="P94" s="378" t="str">
        <f>IF(Psychologia!V94&gt;0,Psychologia!V94," ")</f>
        <v>egz</v>
      </c>
      <c r="Q94" s="389">
        <f t="shared" si="31"/>
        <v>2</v>
      </c>
      <c r="R94" s="390">
        <f t="shared" si="32"/>
        <v>3</v>
      </c>
      <c r="S94" s="394">
        <f t="shared" si="33"/>
        <v>1</v>
      </c>
      <c r="T94" s="132"/>
      <c r="U94" s="131"/>
      <c r="V94" s="131">
        <v>1</v>
      </c>
      <c r="W94" s="131"/>
      <c r="X94" s="131"/>
      <c r="Y94" s="131"/>
      <c r="Z94" s="131"/>
      <c r="AA94" s="131"/>
      <c r="AB94" s="131"/>
      <c r="AC94" s="131">
        <v>1</v>
      </c>
      <c r="AD94" s="131"/>
      <c r="AE94" s="133"/>
      <c r="AF94" s="132"/>
      <c r="AG94" s="131"/>
      <c r="AH94" s="131"/>
      <c r="AI94" s="131">
        <v>1</v>
      </c>
      <c r="AJ94" s="131"/>
      <c r="AK94" s="131">
        <v>1</v>
      </c>
      <c r="AL94" s="131"/>
      <c r="AM94" s="131"/>
      <c r="AN94" s="131"/>
      <c r="AO94" s="131"/>
      <c r="AP94" s="131"/>
      <c r="AQ94" s="131"/>
      <c r="AR94" s="131"/>
      <c r="AS94" s="131"/>
      <c r="AT94" s="131"/>
      <c r="AU94" s="131"/>
      <c r="AV94" s="131"/>
      <c r="AW94" s="131"/>
      <c r="AX94" s="131"/>
      <c r="AY94" s="131"/>
      <c r="AZ94" s="131"/>
      <c r="BA94" s="131"/>
      <c r="BB94" s="131">
        <v>1</v>
      </c>
      <c r="BC94" s="131"/>
      <c r="BD94" s="131"/>
      <c r="BE94" s="131"/>
      <c r="BF94" s="131"/>
      <c r="BG94" s="133"/>
      <c r="BH94" s="131"/>
      <c r="BI94" s="131"/>
      <c r="BJ94" s="131">
        <v>1</v>
      </c>
      <c r="BK94" s="131"/>
      <c r="BL94" s="131"/>
      <c r="BM94" s="131"/>
      <c r="BN94" s="131"/>
      <c r="BO94" s="131"/>
      <c r="BP94" s="131"/>
    </row>
    <row r="95" spans="1:68" s="44" customFormat="1" ht="32.25" customHeight="1" x14ac:dyDescent="0.25">
      <c r="A95" s="46">
        <f>Psychologia!A95</f>
        <v>73</v>
      </c>
      <c r="B95" s="127" t="str">
        <f>IF(Psychologia!B95&gt;0,Psychologia!B95," ")</f>
        <v xml:space="preserve"> </v>
      </c>
      <c r="C95" s="128" t="str">
        <f>IF(Psychologia!C95&gt;0,Psychologia!C95," ")</f>
        <v>2026/2027</v>
      </c>
      <c r="D95" s="128" t="str">
        <f>IF(Psychologia!D95&gt;0,Psychologia!D95," ")</f>
        <v>PK</v>
      </c>
      <c r="E95" s="127">
        <f>IF(Psychologia!E95&gt;0,Psychologia!E95," ")</f>
        <v>4</v>
      </c>
      <c r="F95" s="32" t="str">
        <f>IF(Psychologia!F95&gt;0,Psychologia!F95," ")</f>
        <v>2029/2030</v>
      </c>
      <c r="G95" s="32" t="str">
        <f>IF(Psychologia!G95&gt;0,Psychologia!G95," ")</f>
        <v>POW</v>
      </c>
      <c r="H95" s="122" t="str">
        <f>IF(Psychologia!H95&gt;0,Psychologia!H95," ")</f>
        <v xml:space="preserve"> </v>
      </c>
      <c r="I95" s="122" t="str">
        <f>IF(Psychologia!I95&gt;0,Psychologia!I95," ")</f>
        <v>Psychologiczna diagnoza kliniczna dorosłych</v>
      </c>
      <c r="J95" s="372">
        <f>Psychologia!Y95+Psychologia!AV95</f>
        <v>150</v>
      </c>
      <c r="K95" s="373">
        <f>Psychologia!AS95+Psychologia!BP95</f>
        <v>75</v>
      </c>
      <c r="L95" s="374">
        <f>Psychologia!Z95+Psychologia!AW95</f>
        <v>75</v>
      </c>
      <c r="M95" s="375">
        <f>Psychologia!AB95+Psychologia!AD95+Psychologia!AY95+Psychologia!BA95</f>
        <v>10</v>
      </c>
      <c r="N95" s="376">
        <f>Psychologia!AA95+Psychologia!AX95</f>
        <v>75</v>
      </c>
      <c r="O95" s="377">
        <f>Psychologia!X95+Psychologia!AU95</f>
        <v>6</v>
      </c>
      <c r="P95" s="378" t="str">
        <f>IF(Psychologia!V95&gt;0,Psychologia!V95," ")</f>
        <v>egz</v>
      </c>
      <c r="Q95" s="389">
        <f t="shared" si="31"/>
        <v>2</v>
      </c>
      <c r="R95" s="390">
        <f t="shared" si="32"/>
        <v>8</v>
      </c>
      <c r="S95" s="394">
        <f t="shared" si="33"/>
        <v>2</v>
      </c>
      <c r="T95" s="132"/>
      <c r="U95" s="131">
        <v>1</v>
      </c>
      <c r="V95" s="131"/>
      <c r="W95" s="131"/>
      <c r="X95" s="131"/>
      <c r="Y95" s="131"/>
      <c r="Z95" s="131"/>
      <c r="AA95" s="131"/>
      <c r="AB95" s="131"/>
      <c r="AC95" s="131">
        <v>1</v>
      </c>
      <c r="AD95" s="131"/>
      <c r="AE95" s="133"/>
      <c r="AF95" s="132"/>
      <c r="AG95" s="131"/>
      <c r="AH95" s="131">
        <v>1</v>
      </c>
      <c r="AI95" s="131">
        <v>1</v>
      </c>
      <c r="AJ95" s="131"/>
      <c r="AK95" s="131"/>
      <c r="AL95" s="131"/>
      <c r="AM95" s="131">
        <v>1</v>
      </c>
      <c r="AN95" s="131"/>
      <c r="AO95" s="131">
        <v>1</v>
      </c>
      <c r="AP95" s="131"/>
      <c r="AQ95" s="131"/>
      <c r="AR95" s="131"/>
      <c r="AS95" s="131"/>
      <c r="AT95" s="131">
        <v>1</v>
      </c>
      <c r="AU95" s="131"/>
      <c r="AV95" s="131"/>
      <c r="AW95" s="131"/>
      <c r="AX95" s="131">
        <v>1</v>
      </c>
      <c r="AY95" s="131"/>
      <c r="AZ95" s="131"/>
      <c r="BA95" s="131"/>
      <c r="BB95" s="131">
        <v>1</v>
      </c>
      <c r="BC95" s="131"/>
      <c r="BD95" s="131"/>
      <c r="BE95" s="131"/>
      <c r="BF95" s="131">
        <v>1</v>
      </c>
      <c r="BG95" s="133"/>
      <c r="BH95" s="131"/>
      <c r="BI95" s="131"/>
      <c r="BJ95" s="131">
        <v>1</v>
      </c>
      <c r="BK95" s="131"/>
      <c r="BL95" s="131"/>
      <c r="BM95" s="131">
        <v>1</v>
      </c>
      <c r="BN95" s="131"/>
      <c r="BO95" s="131"/>
      <c r="BP95" s="131"/>
    </row>
    <row r="96" spans="1:68" s="44" customFormat="1" ht="42.75" customHeight="1" x14ac:dyDescent="0.25">
      <c r="A96" s="46">
        <f>Psychologia!A96</f>
        <v>74</v>
      </c>
      <c r="B96" s="127" t="str">
        <f>IF(Psychologia!B96&gt;0,Psychologia!B96," ")</f>
        <v xml:space="preserve"> </v>
      </c>
      <c r="C96" s="128" t="str">
        <f>IF(Psychologia!C96&gt;0,Psychologia!C96," ")</f>
        <v>2026/2027</v>
      </c>
      <c r="D96" s="128" t="str">
        <f>IF(Psychologia!D96&gt;0,Psychologia!D96," ")</f>
        <v>PK</v>
      </c>
      <c r="E96" s="127">
        <f>IF(Psychologia!E96&gt;0,Psychologia!E96," ")</f>
        <v>4</v>
      </c>
      <c r="F96" s="32" t="str">
        <f>IF(Psychologia!F96&gt;0,Psychologia!F96," ")</f>
        <v>2029/2030</v>
      </c>
      <c r="G96" s="32" t="str">
        <f>IF(Psychologia!G96&gt;0,Psychologia!G96," ")</f>
        <v>POW</v>
      </c>
      <c r="H96" s="122" t="str">
        <f>IF(Psychologia!H96&gt;0,Psychologia!H96," ")</f>
        <v xml:space="preserve"> </v>
      </c>
      <c r="I96" s="122" t="str">
        <f>IF(Psychologia!I96&gt;0,Psychologia!I96," ")</f>
        <v>Psychologiczna diagnoza dzieci i młodzieży z elementami psychoterapii</v>
      </c>
      <c r="J96" s="372">
        <f>Psychologia!Y96+Psychologia!AV96</f>
        <v>100</v>
      </c>
      <c r="K96" s="373">
        <f>Psychologia!AS96+Psychologia!BP96</f>
        <v>40</v>
      </c>
      <c r="L96" s="374">
        <f>Psychologia!Z96+Psychologia!AW96</f>
        <v>60</v>
      </c>
      <c r="M96" s="375">
        <f>Psychologia!AB96+Psychologia!AD96+Psychologia!AY96+Psychologia!BA96</f>
        <v>10</v>
      </c>
      <c r="N96" s="376">
        <f>Psychologia!AA96+Psychologia!AX96</f>
        <v>60</v>
      </c>
      <c r="O96" s="377">
        <f>Psychologia!X96+Psychologia!AU96</f>
        <v>4</v>
      </c>
      <c r="P96" s="378" t="str">
        <f>IF(Psychologia!V96&gt;0,Psychologia!V96," ")</f>
        <v>egz</v>
      </c>
      <c r="Q96" s="389">
        <f t="shared" si="31"/>
        <v>2</v>
      </c>
      <c r="R96" s="390">
        <f t="shared" si="32"/>
        <v>8</v>
      </c>
      <c r="S96" s="394">
        <f t="shared" si="33"/>
        <v>2</v>
      </c>
      <c r="T96" s="132"/>
      <c r="U96" s="131">
        <v>1</v>
      </c>
      <c r="V96" s="131"/>
      <c r="W96" s="131"/>
      <c r="X96" s="131">
        <v>1</v>
      </c>
      <c r="Y96" s="131"/>
      <c r="Z96" s="131"/>
      <c r="AA96" s="131"/>
      <c r="AB96" s="131"/>
      <c r="AC96" s="131"/>
      <c r="AD96" s="131"/>
      <c r="AE96" s="133"/>
      <c r="AF96" s="132"/>
      <c r="AG96" s="131"/>
      <c r="AH96" s="131">
        <v>1</v>
      </c>
      <c r="AI96" s="131">
        <v>1</v>
      </c>
      <c r="AJ96" s="131"/>
      <c r="AK96" s="131"/>
      <c r="AL96" s="131"/>
      <c r="AM96" s="131">
        <v>1</v>
      </c>
      <c r="AN96" s="131"/>
      <c r="AO96" s="131">
        <v>1</v>
      </c>
      <c r="AP96" s="131"/>
      <c r="AQ96" s="131"/>
      <c r="AR96" s="131"/>
      <c r="AS96" s="131"/>
      <c r="AT96" s="131">
        <v>1</v>
      </c>
      <c r="AU96" s="131"/>
      <c r="AV96" s="131"/>
      <c r="AW96" s="131"/>
      <c r="AX96" s="131">
        <v>1</v>
      </c>
      <c r="AY96" s="131"/>
      <c r="AZ96" s="131"/>
      <c r="BA96" s="131"/>
      <c r="BB96" s="131">
        <v>1</v>
      </c>
      <c r="BC96" s="131"/>
      <c r="BD96" s="131"/>
      <c r="BE96" s="131"/>
      <c r="BF96" s="131">
        <v>1</v>
      </c>
      <c r="BG96" s="133"/>
      <c r="BH96" s="131"/>
      <c r="BI96" s="131"/>
      <c r="BJ96" s="131">
        <v>1</v>
      </c>
      <c r="BK96" s="131"/>
      <c r="BL96" s="131"/>
      <c r="BM96" s="131">
        <v>1</v>
      </c>
      <c r="BN96" s="131"/>
      <c r="BO96" s="131"/>
      <c r="BP96" s="131"/>
    </row>
    <row r="97" spans="1:68" s="44" customFormat="1" ht="32.25" customHeight="1" x14ac:dyDescent="0.25">
      <c r="A97" s="46">
        <f>Psychologia!A97</f>
        <v>75</v>
      </c>
      <c r="B97" s="127" t="str">
        <f>IF(Psychologia!B97&gt;0,Psychologia!B97," ")</f>
        <v xml:space="preserve"> </v>
      </c>
      <c r="C97" s="128" t="str">
        <f>IF(Psychologia!C97&gt;0,Psychologia!C97," ")</f>
        <v>2026/2027</v>
      </c>
      <c r="D97" s="128" t="str">
        <f>IF(Psychologia!D97&gt;0,Psychologia!D97," ")</f>
        <v>PZ</v>
      </c>
      <c r="E97" s="127">
        <f>IF(Psychologia!E97&gt;0,Psychologia!E97," ")</f>
        <v>4</v>
      </c>
      <c r="F97" s="32" t="str">
        <f>IF(Psychologia!F97&gt;0,Psychologia!F97," ")</f>
        <v>2029/2030</v>
      </c>
      <c r="G97" s="32" t="str">
        <f>IF(Psychologia!G97&gt;0,Psychologia!G97," ")</f>
        <v>POW</v>
      </c>
      <c r="H97" s="122" t="str">
        <f>IF(Psychologia!H97&gt;0,Psychologia!H97," ")</f>
        <v xml:space="preserve"> </v>
      </c>
      <c r="I97" s="122" t="str">
        <f>IF(Psychologia!I97&gt;0,Psychologia!I97," ")</f>
        <v>Poradnictwo psychologiczne</v>
      </c>
      <c r="J97" s="372">
        <f>Psychologia!Y97+Psychologia!AV97</f>
        <v>50</v>
      </c>
      <c r="K97" s="373">
        <f>Psychologia!AS97+Psychologia!BP97</f>
        <v>15</v>
      </c>
      <c r="L97" s="374">
        <f>Psychologia!Z97+Psychologia!AW97</f>
        <v>35</v>
      </c>
      <c r="M97" s="375">
        <f>Psychologia!AB97+Psychologia!AD97+Psychologia!AY97+Psychologia!BA97</f>
        <v>5</v>
      </c>
      <c r="N97" s="376">
        <f>Psychologia!AA97+Psychologia!AX97</f>
        <v>35</v>
      </c>
      <c r="O97" s="377">
        <f>Psychologia!X97+Psychologia!AU97</f>
        <v>2</v>
      </c>
      <c r="P97" s="378" t="str">
        <f>IF(Psychologia!V97&gt;0,Psychologia!V97," ")</f>
        <v>zal/o</v>
      </c>
      <c r="Q97" s="389">
        <f t="shared" si="31"/>
        <v>2</v>
      </c>
      <c r="R97" s="390">
        <f t="shared" si="32"/>
        <v>6</v>
      </c>
      <c r="S97" s="394">
        <f t="shared" si="33"/>
        <v>3</v>
      </c>
      <c r="T97" s="132"/>
      <c r="U97" s="131"/>
      <c r="V97" s="131">
        <v>1</v>
      </c>
      <c r="W97" s="131"/>
      <c r="X97" s="131"/>
      <c r="Y97" s="131"/>
      <c r="Z97" s="131"/>
      <c r="AA97" s="131"/>
      <c r="AB97" s="131"/>
      <c r="AC97" s="131">
        <v>1</v>
      </c>
      <c r="AD97" s="131"/>
      <c r="AE97" s="133"/>
      <c r="AF97" s="132"/>
      <c r="AG97" s="131"/>
      <c r="AH97" s="131"/>
      <c r="AI97" s="131"/>
      <c r="AJ97" s="131">
        <v>1</v>
      </c>
      <c r="AK97" s="131">
        <v>1</v>
      </c>
      <c r="AL97" s="131">
        <v>1</v>
      </c>
      <c r="AM97" s="131"/>
      <c r="AN97" s="131">
        <v>1</v>
      </c>
      <c r="AO97" s="131"/>
      <c r="AP97" s="131">
        <v>1</v>
      </c>
      <c r="AQ97" s="131"/>
      <c r="AR97" s="131"/>
      <c r="AS97" s="131"/>
      <c r="AT97" s="131"/>
      <c r="AU97" s="131"/>
      <c r="AV97" s="131"/>
      <c r="AW97" s="131"/>
      <c r="AX97" s="131"/>
      <c r="AY97" s="131"/>
      <c r="AZ97" s="131"/>
      <c r="BA97" s="131"/>
      <c r="BB97" s="131"/>
      <c r="BC97" s="131"/>
      <c r="BD97" s="131"/>
      <c r="BE97" s="131"/>
      <c r="BF97" s="131"/>
      <c r="BG97" s="133">
        <v>1</v>
      </c>
      <c r="BH97" s="131"/>
      <c r="BI97" s="131">
        <v>1</v>
      </c>
      <c r="BJ97" s="131">
        <v>1</v>
      </c>
      <c r="BK97" s="131"/>
      <c r="BL97" s="131"/>
      <c r="BM97" s="131">
        <v>1</v>
      </c>
      <c r="BN97" s="131"/>
      <c r="BO97" s="131"/>
      <c r="BP97" s="131"/>
    </row>
    <row r="98" spans="1:68" s="44" customFormat="1" ht="32.25" customHeight="1" x14ac:dyDescent="0.25">
      <c r="A98" s="46">
        <f>Psychologia!A98</f>
        <v>76</v>
      </c>
      <c r="B98" s="127" t="str">
        <f>IF(Psychologia!B98&gt;0,Psychologia!B98," ")</f>
        <v xml:space="preserve"> </v>
      </c>
      <c r="C98" s="128" t="str">
        <f>IF(Psychologia!C98&gt;0,Psychologia!C98," ")</f>
        <v>2026/2027</v>
      </c>
      <c r="D98" s="128" t="str">
        <f>IF(Psychologia!D98&gt;0,Psychologia!D98," ")</f>
        <v>PZ</v>
      </c>
      <c r="E98" s="127">
        <f>IF(Psychologia!E98&gt;0,Psychologia!E98," ")</f>
        <v>4</v>
      </c>
      <c r="F98" s="32" t="str">
        <f>IF(Psychologia!F98&gt;0,Psychologia!F98," ")</f>
        <v>2029/2030</v>
      </c>
      <c r="G98" s="32" t="str">
        <f>IF(Psychologia!G98&gt;0,Psychologia!G98," ")</f>
        <v>POW</v>
      </c>
      <c r="H98" s="122" t="str">
        <f>IF(Psychologia!H98&gt;0,Psychologia!H98," ")</f>
        <v xml:space="preserve"> </v>
      </c>
      <c r="I98" s="122" t="str">
        <f>IF(Psychologia!I98&gt;0,Psychologia!I98," ")</f>
        <v>Elementy psychologii edukacji</v>
      </c>
      <c r="J98" s="372">
        <f>Psychologia!Y98+Psychologia!AV98</f>
        <v>100</v>
      </c>
      <c r="K98" s="373">
        <f>Psychologia!AS98+Psychologia!BP98</f>
        <v>50</v>
      </c>
      <c r="L98" s="374">
        <f>Psychologia!Z98+Psychologia!AW98</f>
        <v>50</v>
      </c>
      <c r="M98" s="375">
        <f>Psychologia!AB98+Psychologia!AD98+Psychologia!AY98+Psychologia!BA98</f>
        <v>15</v>
      </c>
      <c r="N98" s="376">
        <f>Psychologia!AA98+Psychologia!AX98</f>
        <v>50</v>
      </c>
      <c r="O98" s="377">
        <f>Psychologia!X98+Psychologia!AU98</f>
        <v>4</v>
      </c>
      <c r="P98" s="378" t="str">
        <f>IF(Psychologia!V98&gt;0,Psychologia!V98," ")</f>
        <v>egz</v>
      </c>
      <c r="Q98" s="389">
        <f t="shared" si="31"/>
        <v>2</v>
      </c>
      <c r="R98" s="390">
        <f t="shared" si="32"/>
        <v>6</v>
      </c>
      <c r="S98" s="394">
        <f t="shared" si="33"/>
        <v>0</v>
      </c>
      <c r="T98" s="132">
        <v>1</v>
      </c>
      <c r="U98" s="131"/>
      <c r="V98" s="131"/>
      <c r="W98" s="131"/>
      <c r="X98" s="131">
        <v>1</v>
      </c>
      <c r="Y98" s="131"/>
      <c r="Z98" s="131"/>
      <c r="AA98" s="131"/>
      <c r="AB98" s="131"/>
      <c r="AC98" s="131"/>
      <c r="AD98" s="131"/>
      <c r="AE98" s="133"/>
      <c r="AF98" s="132"/>
      <c r="AG98" s="131"/>
      <c r="AH98" s="131"/>
      <c r="AI98" s="131"/>
      <c r="AJ98" s="131">
        <v>1</v>
      </c>
      <c r="AK98" s="131"/>
      <c r="AL98" s="131">
        <v>1</v>
      </c>
      <c r="AM98" s="46"/>
      <c r="AN98" s="131">
        <v>1</v>
      </c>
      <c r="AO98" s="131"/>
      <c r="AP98" s="131">
        <v>1</v>
      </c>
      <c r="AQ98" s="131"/>
      <c r="AR98" s="131"/>
      <c r="AS98" s="131"/>
      <c r="AT98" s="131"/>
      <c r="AU98" s="131">
        <v>1</v>
      </c>
      <c r="AV98" s="131"/>
      <c r="AW98" s="131"/>
      <c r="AX98" s="131"/>
      <c r="AY98" s="131"/>
      <c r="AZ98" s="131"/>
      <c r="BA98" s="131"/>
      <c r="BB98" s="131"/>
      <c r="BC98" s="131"/>
      <c r="BD98" s="131"/>
      <c r="BE98" s="131"/>
      <c r="BF98" s="131"/>
      <c r="BG98" s="133">
        <v>1</v>
      </c>
      <c r="BH98" s="131"/>
      <c r="BI98" s="131"/>
      <c r="BJ98" s="131"/>
      <c r="BK98" s="131"/>
      <c r="BL98" s="131"/>
      <c r="BM98" s="131"/>
      <c r="BN98" s="131"/>
      <c r="BO98" s="131"/>
      <c r="BP98" s="131"/>
    </row>
    <row r="99" spans="1:68" s="44" customFormat="1" ht="32.25" customHeight="1" x14ac:dyDescent="0.25">
      <c r="A99" s="46">
        <f>Psychologia!A99</f>
        <v>77</v>
      </c>
      <c r="B99" s="127" t="str">
        <f>IF(Psychologia!B99&gt;0,Psychologia!B99," ")</f>
        <v xml:space="preserve"> </v>
      </c>
      <c r="C99" s="128" t="str">
        <f>IF(Psychologia!C99&gt;0,Psychologia!C99," ")</f>
        <v>2026/2027</v>
      </c>
      <c r="D99" s="128" t="str">
        <f>IF(Psychologia!D99&gt;0,Psychologia!D99," ")</f>
        <v>PZ</v>
      </c>
      <c r="E99" s="127">
        <f>IF(Psychologia!E99&gt;0,Psychologia!E99," ")</f>
        <v>4</v>
      </c>
      <c r="F99" s="32" t="str">
        <f>IF(Psychologia!F99&gt;0,Psychologia!F99," ")</f>
        <v>2029/2030</v>
      </c>
      <c r="G99" s="32" t="str">
        <f>IF(Psychologia!G99&gt;0,Psychologia!G99," ")</f>
        <v>POW</v>
      </c>
      <c r="H99" s="122" t="str">
        <f>IF(Psychologia!H99&gt;0,Psychologia!H99," ")</f>
        <v xml:space="preserve"> </v>
      </c>
      <c r="I99" s="122" t="str">
        <f>IF(Psychologia!I99&gt;0,Psychologia!I99," ")</f>
        <v>Psychologia kryzysu i stresu w praktyce pomocowej</v>
      </c>
      <c r="J99" s="372">
        <f>Psychologia!Y99+Psychologia!AV99</f>
        <v>75</v>
      </c>
      <c r="K99" s="373">
        <f>Psychologia!AS99+Psychologia!BP99</f>
        <v>15</v>
      </c>
      <c r="L99" s="374">
        <f>Psychologia!Z99+Psychologia!AW99</f>
        <v>60</v>
      </c>
      <c r="M99" s="375">
        <f>Psychologia!AB99+Psychologia!AD99+Psychologia!AY99+Psychologia!BA99</f>
        <v>10</v>
      </c>
      <c r="N99" s="376">
        <f>Psychologia!AA99+Psychologia!AX99</f>
        <v>60</v>
      </c>
      <c r="O99" s="377">
        <f>Psychologia!X99+Psychologia!AU99</f>
        <v>3</v>
      </c>
      <c r="P99" s="378" t="str">
        <f>IF(Psychologia!V99&gt;0,Psychologia!V99," ")</f>
        <v>egz</v>
      </c>
      <c r="Q99" s="389">
        <f t="shared" si="31"/>
        <v>2</v>
      </c>
      <c r="R99" s="390">
        <f t="shared" si="32"/>
        <v>3</v>
      </c>
      <c r="S99" s="394">
        <f t="shared" si="33"/>
        <v>4</v>
      </c>
      <c r="T99" s="132">
        <v>1</v>
      </c>
      <c r="U99" s="131"/>
      <c r="V99" s="131"/>
      <c r="W99" s="131"/>
      <c r="X99" s="131">
        <v>1</v>
      </c>
      <c r="Y99" s="131"/>
      <c r="Z99" s="131"/>
      <c r="AA99" s="131"/>
      <c r="AB99" s="131"/>
      <c r="AC99" s="131"/>
      <c r="AD99" s="131"/>
      <c r="AE99" s="133"/>
      <c r="AF99" s="132"/>
      <c r="AG99" s="131"/>
      <c r="AH99" s="131"/>
      <c r="AI99" s="131"/>
      <c r="AJ99" s="131"/>
      <c r="AK99" s="131"/>
      <c r="AL99" s="131"/>
      <c r="AM99" s="131"/>
      <c r="AN99" s="131">
        <v>1</v>
      </c>
      <c r="AO99" s="131"/>
      <c r="AP99" s="131">
        <v>1</v>
      </c>
      <c r="AQ99" s="131"/>
      <c r="AR99" s="131"/>
      <c r="AS99" s="131"/>
      <c r="AT99" s="131"/>
      <c r="AU99" s="131"/>
      <c r="AV99" s="131"/>
      <c r="AW99" s="131"/>
      <c r="AX99" s="131"/>
      <c r="AY99" s="131"/>
      <c r="AZ99" s="131"/>
      <c r="BA99" s="131"/>
      <c r="BB99" s="131"/>
      <c r="BC99" s="131"/>
      <c r="BD99" s="131"/>
      <c r="BE99" s="131"/>
      <c r="BF99" s="131"/>
      <c r="BG99" s="133">
        <v>1</v>
      </c>
      <c r="BH99" s="131"/>
      <c r="BI99" s="131"/>
      <c r="BJ99" s="131">
        <v>1</v>
      </c>
      <c r="BK99" s="131">
        <v>1</v>
      </c>
      <c r="BL99" s="131"/>
      <c r="BM99" s="131">
        <v>1</v>
      </c>
      <c r="BN99" s="131">
        <v>1</v>
      </c>
      <c r="BO99" s="131"/>
      <c r="BP99" s="131"/>
    </row>
    <row r="100" spans="1:68" s="44" customFormat="1" ht="32.25" customHeight="1" x14ac:dyDescent="0.25">
      <c r="A100" s="46">
        <f>Psychologia!A100</f>
        <v>78</v>
      </c>
      <c r="B100" s="127" t="str">
        <f>IF(Psychologia!B100&gt;0,Psychologia!B100," ")</f>
        <v xml:space="preserve"> </v>
      </c>
      <c r="C100" s="128" t="str">
        <f>IF(Psychologia!C100&gt;0,Psychologia!C100," ")</f>
        <v>2026/2027</v>
      </c>
      <c r="D100" s="128" t="str">
        <f>IF(Psychologia!D100&gt;0,Psychologia!D100," ")</f>
        <v>PZ</v>
      </c>
      <c r="E100" s="127">
        <f>IF(Psychologia!E100&gt;0,Psychologia!E100," ")</f>
        <v>4</v>
      </c>
      <c r="F100" s="32" t="str">
        <f>IF(Psychologia!F100&gt;0,Psychologia!F100," ")</f>
        <v>2029/2030</v>
      </c>
      <c r="G100" s="32" t="str">
        <f>IF(Psychologia!G100&gt;0,Psychologia!G100," ")</f>
        <v>POW</v>
      </c>
      <c r="H100" s="122" t="str">
        <f>IF(Psychologia!H100&gt;0,Psychologia!H100," ")</f>
        <v xml:space="preserve"> </v>
      </c>
      <c r="I100" s="122" t="str">
        <f>IF(Psychologia!I100&gt;0,Psychologia!I100," ")</f>
        <v>Psychologia zaburzeń somatycznych</v>
      </c>
      <c r="J100" s="372">
        <f>Psychologia!Y100+Psychologia!AV100</f>
        <v>100</v>
      </c>
      <c r="K100" s="373">
        <f>Psychologia!AS100+Psychologia!BP100</f>
        <v>30</v>
      </c>
      <c r="L100" s="374">
        <f>Psychologia!Z100+Psychologia!AW100</f>
        <v>70</v>
      </c>
      <c r="M100" s="375">
        <f>Psychologia!AB100+Psychologia!AD100+Psychologia!AY100+Psychologia!BA100</f>
        <v>10</v>
      </c>
      <c r="N100" s="376">
        <f>Psychologia!AA100+Psychologia!AX100</f>
        <v>70</v>
      </c>
      <c r="O100" s="377">
        <f>Psychologia!X100+Psychologia!AU100</f>
        <v>4</v>
      </c>
      <c r="P100" s="378" t="str">
        <f>IF(Psychologia!V100&gt;0,Psychologia!V100," ")</f>
        <v>egz</v>
      </c>
      <c r="Q100" s="389">
        <f t="shared" si="31"/>
        <v>3</v>
      </c>
      <c r="R100" s="390">
        <f t="shared" si="32"/>
        <v>7</v>
      </c>
      <c r="S100" s="394">
        <f t="shared" si="33"/>
        <v>1</v>
      </c>
      <c r="T100" s="132"/>
      <c r="U100" s="131"/>
      <c r="V100" s="131"/>
      <c r="W100" s="131"/>
      <c r="X100" s="131"/>
      <c r="Y100" s="131">
        <v>1</v>
      </c>
      <c r="Z100" s="131"/>
      <c r="AA100" s="131">
        <v>1</v>
      </c>
      <c r="AB100" s="131"/>
      <c r="AC100" s="131">
        <v>1</v>
      </c>
      <c r="AD100" s="131"/>
      <c r="AE100" s="133"/>
      <c r="AF100" s="132"/>
      <c r="AG100" s="131">
        <v>1</v>
      </c>
      <c r="AH100" s="131">
        <v>1</v>
      </c>
      <c r="AI100" s="131"/>
      <c r="AJ100" s="131">
        <v>1</v>
      </c>
      <c r="AK100" s="131"/>
      <c r="AL100" s="131"/>
      <c r="AM100" s="131"/>
      <c r="AN100" s="131"/>
      <c r="AO100" s="131"/>
      <c r="AP100" s="131"/>
      <c r="AQ100" s="131"/>
      <c r="AR100" s="131"/>
      <c r="AS100" s="131"/>
      <c r="AT100" s="131"/>
      <c r="AU100" s="131"/>
      <c r="AV100" s="131"/>
      <c r="AW100" s="131"/>
      <c r="AX100" s="131"/>
      <c r="AY100" s="131"/>
      <c r="AZ100" s="131">
        <v>1</v>
      </c>
      <c r="BA100" s="131">
        <v>1</v>
      </c>
      <c r="BB100" s="131"/>
      <c r="BC100" s="131">
        <v>1</v>
      </c>
      <c r="BD100" s="131"/>
      <c r="BE100" s="131">
        <v>1</v>
      </c>
      <c r="BF100" s="131"/>
      <c r="BG100" s="133"/>
      <c r="BH100" s="131"/>
      <c r="BI100" s="131"/>
      <c r="BJ100" s="131"/>
      <c r="BK100" s="131"/>
      <c r="BL100" s="131">
        <v>1</v>
      </c>
      <c r="BM100" s="131"/>
      <c r="BN100" s="131"/>
      <c r="BO100" s="131"/>
      <c r="BP100" s="131"/>
    </row>
    <row r="101" spans="1:68" s="44" customFormat="1" ht="32.25" customHeight="1" x14ac:dyDescent="0.25">
      <c r="A101" s="46">
        <f>Psychologia!A101</f>
        <v>79</v>
      </c>
      <c r="B101" s="127" t="str">
        <f>IF(Psychologia!B101&gt;0,Psychologia!B101," ")</f>
        <v xml:space="preserve"> </v>
      </c>
      <c r="C101" s="128" t="str">
        <f>IF(Psychologia!C101&gt;0,Psychologia!C101," ")</f>
        <v>2026/2027</v>
      </c>
      <c r="D101" s="128" t="str">
        <f>IF(Psychologia!D101&gt;0,Psychologia!D101," ")</f>
        <v>PZ</v>
      </c>
      <c r="E101" s="127">
        <f>IF(Psychologia!E101&gt;0,Psychologia!E101," ")</f>
        <v>4</v>
      </c>
      <c r="F101" s="32" t="str">
        <f>IF(Psychologia!F101&gt;0,Psychologia!F101," ")</f>
        <v>2029/2030</v>
      </c>
      <c r="G101" s="32" t="str">
        <f>IF(Psychologia!G101&gt;0,Psychologia!G101," ")</f>
        <v>POW</v>
      </c>
      <c r="H101" s="122" t="str">
        <f>IF(Psychologia!H101&gt;0,Psychologia!H101," ")</f>
        <v xml:space="preserve"> </v>
      </c>
      <c r="I101" s="122" t="str">
        <f>IF(Psychologia!I101&gt;0,Psychologia!I101," ")</f>
        <v>Projektowanie i prowadzenie szkoleń</v>
      </c>
      <c r="J101" s="372">
        <f>Psychologia!Y101+Psychologia!AV101</f>
        <v>75</v>
      </c>
      <c r="K101" s="373">
        <f>Psychologia!AS101+Psychologia!BP101</f>
        <v>30</v>
      </c>
      <c r="L101" s="374">
        <f>Psychologia!Z101+Psychologia!AW101</f>
        <v>45</v>
      </c>
      <c r="M101" s="375">
        <f>Psychologia!AB101+Psychologia!AD101+Psychologia!AY101+Psychologia!BA101</f>
        <v>5</v>
      </c>
      <c r="N101" s="376">
        <f>Psychologia!AA101+Psychologia!AX101</f>
        <v>45</v>
      </c>
      <c r="O101" s="377">
        <f>Psychologia!X101+Psychologia!AU101</f>
        <v>3</v>
      </c>
      <c r="P101" s="378" t="str">
        <f>IF(Psychologia!V101&gt;0,Psychologia!V101," ")</f>
        <v>zal/o</v>
      </c>
      <c r="Q101" s="389">
        <f t="shared" si="31"/>
        <v>2</v>
      </c>
      <c r="R101" s="390">
        <f t="shared" si="32"/>
        <v>7</v>
      </c>
      <c r="S101" s="394">
        <f t="shared" si="33"/>
        <v>3</v>
      </c>
      <c r="T101" s="132"/>
      <c r="U101" s="131"/>
      <c r="V101" s="131"/>
      <c r="W101" s="131"/>
      <c r="X101" s="131"/>
      <c r="Y101" s="131"/>
      <c r="Z101" s="131"/>
      <c r="AA101" s="131"/>
      <c r="AB101" s="131"/>
      <c r="AC101" s="131"/>
      <c r="AD101" s="131">
        <v>1</v>
      </c>
      <c r="AE101" s="133">
        <v>1</v>
      </c>
      <c r="AF101" s="132"/>
      <c r="AG101" s="131"/>
      <c r="AH101" s="131"/>
      <c r="AI101" s="131"/>
      <c r="AJ101" s="131"/>
      <c r="AK101" s="131"/>
      <c r="AL101" s="131"/>
      <c r="AM101" s="131"/>
      <c r="AN101" s="131">
        <v>1</v>
      </c>
      <c r="AO101" s="131"/>
      <c r="AP101" s="131">
        <v>1</v>
      </c>
      <c r="AQ101" s="131"/>
      <c r="AR101" s="131">
        <v>1</v>
      </c>
      <c r="AS101" s="131">
        <v>1</v>
      </c>
      <c r="AT101" s="131"/>
      <c r="AU101" s="131">
        <v>1</v>
      </c>
      <c r="AV101" s="131"/>
      <c r="AW101" s="131"/>
      <c r="AX101" s="131"/>
      <c r="AY101" s="131">
        <v>1</v>
      </c>
      <c r="AZ101" s="131"/>
      <c r="BA101" s="131"/>
      <c r="BB101" s="131"/>
      <c r="BC101" s="131"/>
      <c r="BD101" s="131"/>
      <c r="BE101" s="131"/>
      <c r="BF101" s="131">
        <v>1</v>
      </c>
      <c r="BG101" s="133"/>
      <c r="BH101" s="131"/>
      <c r="BI101" s="131"/>
      <c r="BJ101" s="131"/>
      <c r="BK101" s="131">
        <v>1</v>
      </c>
      <c r="BL101" s="131"/>
      <c r="BM101" s="131">
        <v>1</v>
      </c>
      <c r="BN101" s="131"/>
      <c r="BO101" s="131"/>
      <c r="BP101" s="131">
        <v>1</v>
      </c>
    </row>
    <row r="102" spans="1:68" s="44" customFormat="1" ht="32.25" customHeight="1" x14ac:dyDescent="0.25">
      <c r="A102" s="46">
        <f>Psychologia!A102</f>
        <v>80</v>
      </c>
      <c r="B102" s="127" t="str">
        <f>IF(Psychologia!B102&gt;0,Psychologia!B102," ")</f>
        <v xml:space="preserve"> </v>
      </c>
      <c r="C102" s="128" t="str">
        <f>IF(Psychologia!C102&gt;0,Psychologia!C102," ")</f>
        <v>2026/2027</v>
      </c>
      <c r="D102" s="128" t="str">
        <f>IF(Psychologia!D102&gt;0,Psychologia!D102," ")</f>
        <v>PZ</v>
      </c>
      <c r="E102" s="127">
        <f>IF(Psychologia!E102&gt;0,Psychologia!E102," ")</f>
        <v>4</v>
      </c>
      <c r="F102" s="32" t="str">
        <f>IF(Psychologia!F102&gt;0,Psychologia!F102," ")</f>
        <v>2029/2030</v>
      </c>
      <c r="G102" s="32" t="str">
        <f>IF(Psychologia!G102&gt;0,Psychologia!G102," ")</f>
        <v>POW</v>
      </c>
      <c r="H102" s="122" t="str">
        <f>IF(Psychologia!H102&gt;0,Psychologia!H102," ")</f>
        <v xml:space="preserve"> </v>
      </c>
      <c r="I102" s="122" t="str">
        <f>IF(Psychologia!I102&gt;0,Psychologia!I102," ")</f>
        <v>Promocja zdrowia</v>
      </c>
      <c r="J102" s="372">
        <f>Psychologia!Y102+Psychologia!AV102</f>
        <v>75</v>
      </c>
      <c r="K102" s="373">
        <f>Psychologia!AS102+Psychologia!BP102</f>
        <v>30</v>
      </c>
      <c r="L102" s="374">
        <f>Psychologia!Z102+Psychologia!AW102</f>
        <v>45</v>
      </c>
      <c r="M102" s="375">
        <f>Psychologia!AB102+Psychologia!AD102+Psychologia!AY102+Psychologia!BA102</f>
        <v>5</v>
      </c>
      <c r="N102" s="376">
        <f>Psychologia!AA102+Psychologia!AX102</f>
        <v>45</v>
      </c>
      <c r="O102" s="377">
        <f>Psychologia!X102+Psychologia!AU102</f>
        <v>3</v>
      </c>
      <c r="P102" s="378" t="str">
        <f>IF(Psychologia!V102&gt;0,Psychologia!V102," ")</f>
        <v>egz</v>
      </c>
      <c r="Q102" s="389">
        <f t="shared" si="31"/>
        <v>1</v>
      </c>
      <c r="R102" s="390">
        <f t="shared" si="32"/>
        <v>3</v>
      </c>
      <c r="S102" s="394">
        <f t="shared" si="33"/>
        <v>2</v>
      </c>
      <c r="T102" s="132"/>
      <c r="U102" s="131"/>
      <c r="V102" s="131"/>
      <c r="W102" s="131"/>
      <c r="X102" s="131"/>
      <c r="Y102" s="131"/>
      <c r="Z102" s="131">
        <v>1</v>
      </c>
      <c r="AA102" s="131"/>
      <c r="AB102" s="131"/>
      <c r="AC102" s="131"/>
      <c r="AD102" s="131"/>
      <c r="AE102" s="133"/>
      <c r="AF102" s="132"/>
      <c r="AG102" s="131"/>
      <c r="AH102" s="131"/>
      <c r="AI102" s="131"/>
      <c r="AJ102" s="131"/>
      <c r="AK102" s="131"/>
      <c r="AL102" s="131"/>
      <c r="AM102" s="131"/>
      <c r="AN102" s="131"/>
      <c r="AO102" s="131"/>
      <c r="AP102" s="131">
        <v>1</v>
      </c>
      <c r="AQ102" s="131"/>
      <c r="AR102" s="131"/>
      <c r="AS102" s="131"/>
      <c r="AT102" s="131"/>
      <c r="AU102" s="131"/>
      <c r="AV102" s="131"/>
      <c r="AW102" s="131">
        <v>1</v>
      </c>
      <c r="AX102" s="131"/>
      <c r="AY102" s="131"/>
      <c r="AZ102" s="131"/>
      <c r="BA102" s="131"/>
      <c r="BB102" s="131"/>
      <c r="BC102" s="131"/>
      <c r="BD102" s="131"/>
      <c r="BE102" s="131"/>
      <c r="BF102" s="131"/>
      <c r="BG102" s="133">
        <v>1</v>
      </c>
      <c r="BH102" s="131"/>
      <c r="BI102" s="131"/>
      <c r="BJ102" s="131"/>
      <c r="BK102" s="131"/>
      <c r="BL102" s="131"/>
      <c r="BM102" s="131"/>
      <c r="BN102" s="131">
        <v>1</v>
      </c>
      <c r="BO102" s="131">
        <v>1</v>
      </c>
      <c r="BP102" s="131"/>
    </row>
    <row r="103" spans="1:68" s="44" customFormat="1" ht="32.25" customHeight="1" thickBot="1" x14ac:dyDescent="0.3">
      <c r="A103" s="56">
        <f>Psychologia!A103</f>
        <v>81</v>
      </c>
      <c r="B103" s="410" t="str">
        <f>IF(Psychologia!B103&gt;0,Psychologia!B103," ")</f>
        <v xml:space="preserve"> </v>
      </c>
      <c r="C103" s="361" t="str">
        <f>IF(Psychologia!C103&gt;0,Psychologia!C103," ")</f>
        <v>2026/2027</v>
      </c>
      <c r="D103" s="361" t="str">
        <f>IF(Psychologia!D103&gt;0,Psychologia!D103," ")</f>
        <v>PZ</v>
      </c>
      <c r="E103" s="410">
        <f>IF(Psychologia!E103&gt;0,Psychologia!E103," ")</f>
        <v>4</v>
      </c>
      <c r="F103" s="56" t="str">
        <f>IF(Psychologia!F103&gt;0,Psychologia!F103," ")</f>
        <v>2029/2030</v>
      </c>
      <c r="G103" s="56" t="str">
        <f>IF(Psychologia!G103&gt;0,Psychologia!G103," ")</f>
        <v>POW</v>
      </c>
      <c r="H103" s="120" t="str">
        <f>IF(Psychologia!H103&gt;0,Psychologia!H103," ")</f>
        <v xml:space="preserve"> </v>
      </c>
      <c r="I103" s="120" t="str">
        <f>IF(Psychologia!I103&gt;0,Psychologia!I103," ")</f>
        <v>Rehabilitacja psychologiczna</v>
      </c>
      <c r="J103" s="355">
        <f>Psychologia!Y103+Psychologia!AV103</f>
        <v>100</v>
      </c>
      <c r="K103" s="356">
        <f>Psychologia!AS103+Psychologia!BP103</f>
        <v>30</v>
      </c>
      <c r="L103" s="357">
        <f>Psychologia!Z103+Psychologia!AW103</f>
        <v>70</v>
      </c>
      <c r="M103" s="358">
        <f>Psychologia!AB103+Psychologia!AD103+Psychologia!AY103+Psychologia!BA103</f>
        <v>10</v>
      </c>
      <c r="N103" s="359">
        <f>Psychologia!AA103+Psychologia!AX103</f>
        <v>70</v>
      </c>
      <c r="O103" s="360">
        <f>Psychologia!X103+Psychologia!AU103</f>
        <v>4</v>
      </c>
      <c r="P103" s="361" t="str">
        <f>IF(Psychologia!V103&gt;0,Psychologia!V103," ")</f>
        <v>egz</v>
      </c>
      <c r="Q103" s="403">
        <f t="shared" si="31"/>
        <v>2</v>
      </c>
      <c r="R103" s="363">
        <f t="shared" si="32"/>
        <v>8</v>
      </c>
      <c r="S103" s="364">
        <f t="shared" si="33"/>
        <v>1</v>
      </c>
      <c r="T103" s="350"/>
      <c r="U103" s="351"/>
      <c r="V103" s="351">
        <v>1</v>
      </c>
      <c r="W103" s="351"/>
      <c r="X103" s="351"/>
      <c r="Y103" s="351"/>
      <c r="Z103" s="351"/>
      <c r="AA103" s="351">
        <v>1</v>
      </c>
      <c r="AB103" s="351"/>
      <c r="AC103" s="351"/>
      <c r="AD103" s="351"/>
      <c r="AE103" s="353"/>
      <c r="AF103" s="132"/>
      <c r="AG103" s="131"/>
      <c r="AH103" s="131"/>
      <c r="AI103" s="131"/>
      <c r="AJ103" s="131">
        <v>1</v>
      </c>
      <c r="AK103" s="131">
        <v>1</v>
      </c>
      <c r="AL103" s="131">
        <v>1</v>
      </c>
      <c r="AM103" s="131">
        <v>1</v>
      </c>
      <c r="AN103" s="131"/>
      <c r="AO103" s="131"/>
      <c r="AP103" s="131"/>
      <c r="AQ103" s="131"/>
      <c r="AR103" s="131"/>
      <c r="AS103" s="131"/>
      <c r="AT103" s="131"/>
      <c r="AU103" s="131"/>
      <c r="AV103" s="131"/>
      <c r="AW103" s="131"/>
      <c r="AX103" s="131"/>
      <c r="AY103" s="131"/>
      <c r="AZ103" s="131">
        <v>1</v>
      </c>
      <c r="BA103" s="131"/>
      <c r="BB103" s="131">
        <v>1</v>
      </c>
      <c r="BC103" s="131">
        <v>1</v>
      </c>
      <c r="BD103" s="131"/>
      <c r="BE103" s="131"/>
      <c r="BF103" s="131"/>
      <c r="BG103" s="133">
        <v>1</v>
      </c>
      <c r="BH103" s="131"/>
      <c r="BI103" s="131"/>
      <c r="BJ103" s="131"/>
      <c r="BK103" s="131"/>
      <c r="BL103" s="131">
        <v>1</v>
      </c>
      <c r="BM103" s="131"/>
      <c r="BN103" s="131"/>
      <c r="BO103" s="131"/>
      <c r="BP103" s="131"/>
    </row>
    <row r="104" spans="1:68" s="44" customFormat="1" ht="30" customHeight="1" thickBot="1" x14ac:dyDescent="0.3">
      <c r="A104" s="405"/>
      <c r="B104" s="406" t="str">
        <f>IF(Psychologia!B104&gt;0,Psychologia!B104," ")</f>
        <v xml:space="preserve"> </v>
      </c>
      <c r="C104" s="407" t="str">
        <f>IF(Psychologia!C104&gt;0,Psychologia!C104," ")</f>
        <v xml:space="preserve"> </v>
      </c>
      <c r="D104" s="407" t="str">
        <f>IF(Psychologia!D104&gt;0,Psychologia!D104," ")</f>
        <v xml:space="preserve"> </v>
      </c>
      <c r="E104" s="406" t="str">
        <f>IF(Psychologia!E104&gt;0,Psychologia!E104," ")</f>
        <v xml:space="preserve"> </v>
      </c>
      <c r="F104" s="407" t="str">
        <f>IF(Psychologia!F104&gt;0,Psychologia!F104," ")</f>
        <v xml:space="preserve"> </v>
      </c>
      <c r="G104" s="407" t="str">
        <f>IF(Psychologia!G104&gt;0,Psychologia!G104," ")</f>
        <v xml:space="preserve"> </v>
      </c>
      <c r="H104" s="408" t="str">
        <f>IF(Psychologia!H104&gt;0,Psychologia!H104," ")</f>
        <v xml:space="preserve"> </v>
      </c>
      <c r="I104" s="409" t="str">
        <f>IF(Psychologia!I104&gt;0,Psychologia!I104," ")</f>
        <v>sumy dla 4 roku</v>
      </c>
      <c r="J104" s="391">
        <f>Psychologia!Y104+Psychologia!AV104</f>
        <v>2095</v>
      </c>
      <c r="K104" s="392">
        <f>Psychologia!AS104+Psychologia!BP104</f>
        <v>715</v>
      </c>
      <c r="L104" s="393">
        <f>SUM(Psychologia!O81:O103)</f>
        <v>1380</v>
      </c>
      <c r="M104" s="393">
        <f>SUM(M81:M103)</f>
        <v>245</v>
      </c>
      <c r="N104" s="393">
        <f>SUM(Psychologia!P81:P103)</f>
        <v>1380</v>
      </c>
      <c r="O104" s="393">
        <f>SUM(Psychologia!Q81:Q103)</f>
        <v>83</v>
      </c>
      <c r="P104" s="393" t="str">
        <f>IF(Psychologia!V104&gt;0,Psychologia!V104," ")</f>
        <v xml:space="preserve"> </v>
      </c>
      <c r="Q104" s="393">
        <f t="shared" ref="Q104:AE104" si="34">SUM(Q81:Q103)</f>
        <v>40</v>
      </c>
      <c r="R104" s="393">
        <f t="shared" si="34"/>
        <v>135</v>
      </c>
      <c r="S104" s="613">
        <f t="shared" si="34"/>
        <v>42</v>
      </c>
      <c r="T104" s="405">
        <f t="shared" si="34"/>
        <v>2</v>
      </c>
      <c r="U104" s="393">
        <f t="shared" si="34"/>
        <v>5</v>
      </c>
      <c r="V104" s="393">
        <f t="shared" si="34"/>
        <v>4</v>
      </c>
      <c r="W104" s="393">
        <f t="shared" si="34"/>
        <v>2</v>
      </c>
      <c r="X104" s="393">
        <f t="shared" si="34"/>
        <v>3</v>
      </c>
      <c r="Y104" s="393">
        <f t="shared" si="34"/>
        <v>4</v>
      </c>
      <c r="Z104" s="393">
        <f t="shared" si="34"/>
        <v>3</v>
      </c>
      <c r="AA104" s="393">
        <f t="shared" si="34"/>
        <v>6</v>
      </c>
      <c r="AB104" s="393">
        <f t="shared" si="34"/>
        <v>3</v>
      </c>
      <c r="AC104" s="393">
        <f t="shared" si="34"/>
        <v>4</v>
      </c>
      <c r="AD104" s="393">
        <f t="shared" si="34"/>
        <v>2</v>
      </c>
      <c r="AE104" s="619">
        <f t="shared" si="34"/>
        <v>2</v>
      </c>
      <c r="AF104" s="1075">
        <f t="shared" ref="AF104:BP104" si="35">SUM(AF81:AF103)</f>
        <v>2</v>
      </c>
      <c r="AG104" s="1045">
        <f t="shared" si="35"/>
        <v>4</v>
      </c>
      <c r="AH104" s="1045">
        <f t="shared" si="35"/>
        <v>4</v>
      </c>
      <c r="AI104" s="1045">
        <f t="shared" si="35"/>
        <v>7</v>
      </c>
      <c r="AJ104" s="1045">
        <f t="shared" si="35"/>
        <v>5</v>
      </c>
      <c r="AK104" s="1045">
        <f t="shared" si="35"/>
        <v>6</v>
      </c>
      <c r="AL104" s="1045">
        <f t="shared" si="35"/>
        <v>5</v>
      </c>
      <c r="AM104" s="1045">
        <f t="shared" si="35"/>
        <v>7</v>
      </c>
      <c r="AN104" s="1045">
        <f t="shared" si="35"/>
        <v>5</v>
      </c>
      <c r="AO104" s="1045">
        <f t="shared" si="35"/>
        <v>6</v>
      </c>
      <c r="AP104" s="1045">
        <f t="shared" si="35"/>
        <v>7</v>
      </c>
      <c r="AQ104" s="1045">
        <f t="shared" si="35"/>
        <v>0</v>
      </c>
      <c r="AR104" s="1045">
        <f t="shared" si="35"/>
        <v>3</v>
      </c>
      <c r="AS104" s="1045">
        <f t="shared" si="35"/>
        <v>5</v>
      </c>
      <c r="AT104" s="1045">
        <f t="shared" si="35"/>
        <v>6</v>
      </c>
      <c r="AU104" s="1045">
        <f t="shared" si="35"/>
        <v>3</v>
      </c>
      <c r="AV104" s="1045">
        <f t="shared" si="35"/>
        <v>2</v>
      </c>
      <c r="AW104" s="1045">
        <f t="shared" si="35"/>
        <v>3</v>
      </c>
      <c r="AX104" s="1045">
        <f t="shared" si="35"/>
        <v>6</v>
      </c>
      <c r="AY104" s="1045">
        <f t="shared" si="35"/>
        <v>5</v>
      </c>
      <c r="AZ104" s="1045">
        <f t="shared" si="35"/>
        <v>6</v>
      </c>
      <c r="BA104" s="1045">
        <f t="shared" si="35"/>
        <v>5</v>
      </c>
      <c r="BB104" s="1045">
        <f t="shared" si="35"/>
        <v>9</v>
      </c>
      <c r="BC104" s="1045">
        <f t="shared" si="35"/>
        <v>4</v>
      </c>
      <c r="BD104" s="1045">
        <f t="shared" si="35"/>
        <v>2</v>
      </c>
      <c r="BE104" s="1045">
        <f t="shared" si="35"/>
        <v>2</v>
      </c>
      <c r="BF104" s="1045">
        <f t="shared" si="35"/>
        <v>8</v>
      </c>
      <c r="BG104" s="1076">
        <f t="shared" si="35"/>
        <v>8</v>
      </c>
      <c r="BH104" s="1045">
        <f t="shared" si="35"/>
        <v>2</v>
      </c>
      <c r="BI104" s="1045">
        <f t="shared" si="35"/>
        <v>5</v>
      </c>
      <c r="BJ104" s="1045">
        <f t="shared" si="35"/>
        <v>7</v>
      </c>
      <c r="BK104" s="1045">
        <f t="shared" si="35"/>
        <v>4</v>
      </c>
      <c r="BL104" s="1045">
        <f t="shared" si="35"/>
        <v>6</v>
      </c>
      <c r="BM104" s="1045">
        <f t="shared" si="35"/>
        <v>8</v>
      </c>
      <c r="BN104" s="1045">
        <f t="shared" si="35"/>
        <v>4</v>
      </c>
      <c r="BO104" s="1045">
        <f t="shared" si="35"/>
        <v>1</v>
      </c>
      <c r="BP104" s="1045">
        <f t="shared" si="35"/>
        <v>5</v>
      </c>
    </row>
    <row r="105" spans="1:68" s="44" customFormat="1" ht="32.25" customHeight="1" x14ac:dyDescent="0.25">
      <c r="A105" s="46">
        <f>Psychologia!A105</f>
        <v>82</v>
      </c>
      <c r="B105" s="127" t="str">
        <f>IF(Psychologia!B105&gt;0,Psychologia!B105," ")</f>
        <v xml:space="preserve"> </v>
      </c>
      <c r="C105" s="128" t="str">
        <f>IF(Psychologia!C105&gt;0,Psychologia!C105," ")</f>
        <v>2026/2027</v>
      </c>
      <c r="D105" s="128" t="str">
        <f>IF(Psychologia!D105&gt;0,Psychologia!D105," ")</f>
        <v xml:space="preserve"> </v>
      </c>
      <c r="E105" s="127">
        <f>IF(Psychologia!E105&gt;0,Psychologia!E105," ")</f>
        <v>5</v>
      </c>
      <c r="F105" s="32" t="str">
        <f>IF(Psychologia!F105&gt;0,Psychologia!F105," ")</f>
        <v>2030/2031</v>
      </c>
      <c r="G105" s="32" t="str">
        <f>IF(Psychologia!G105&gt;0,Psychologia!G105," ")</f>
        <v>RPS</v>
      </c>
      <c r="H105" s="122" t="str">
        <f>IF(Psychologia!H105&gt;0,Psychologia!H105," ")</f>
        <v xml:space="preserve"> </v>
      </c>
      <c r="I105" s="122" t="str">
        <f>IF(Psychologia!I105&gt;0,Psychologia!I105," ")</f>
        <v>Interwencja kryzysowa</v>
      </c>
      <c r="J105" s="372">
        <f>Psychologia!Y105+Psychologia!AV105</f>
        <v>150</v>
      </c>
      <c r="K105" s="373">
        <f>Psychologia!AS105+Psychologia!BP105</f>
        <v>80</v>
      </c>
      <c r="L105" s="374">
        <f>Psychologia!Z105+Psychologia!AW105</f>
        <v>70</v>
      </c>
      <c r="M105" s="375">
        <f>Psychologia!AB105+Psychologia!AD105+Psychologia!AY105+Psychologia!BA105</f>
        <v>10</v>
      </c>
      <c r="N105" s="376">
        <f>Psychologia!AA105+Psychologia!AX105</f>
        <v>70</v>
      </c>
      <c r="O105" s="377">
        <f>Psychologia!X105+Psychologia!AU105</f>
        <v>6</v>
      </c>
      <c r="P105" s="378" t="str">
        <f>IF(Psychologia!V105&gt;0,Psychologia!V105," ")</f>
        <v>zal/o</v>
      </c>
      <c r="Q105" s="389">
        <f>SUM(T105:AE105)</f>
        <v>2</v>
      </c>
      <c r="R105" s="390">
        <f t="shared" ref="R105" si="36">SUM(AF105:BG105)</f>
        <v>5</v>
      </c>
      <c r="S105" s="394">
        <f>SUM(BH105:BP105)</f>
        <v>2</v>
      </c>
      <c r="T105" s="132"/>
      <c r="U105" s="131"/>
      <c r="V105" s="131">
        <v>1</v>
      </c>
      <c r="W105" s="131"/>
      <c r="X105" s="131">
        <v>1</v>
      </c>
      <c r="Y105" s="131"/>
      <c r="Z105" s="131"/>
      <c r="AA105" s="131"/>
      <c r="AB105" s="131"/>
      <c r="AC105" s="131"/>
      <c r="AD105" s="131"/>
      <c r="AE105" s="133"/>
      <c r="AF105" s="132"/>
      <c r="AG105" s="131"/>
      <c r="AH105" s="131"/>
      <c r="AI105" s="131">
        <v>1</v>
      </c>
      <c r="AJ105" s="131">
        <v>1</v>
      </c>
      <c r="AK105" s="131">
        <v>1</v>
      </c>
      <c r="AL105" s="131"/>
      <c r="AM105" s="131"/>
      <c r="AN105" s="131"/>
      <c r="AO105" s="131"/>
      <c r="AP105" s="131"/>
      <c r="AQ105" s="131"/>
      <c r="AR105" s="131"/>
      <c r="AS105" s="131"/>
      <c r="AT105" s="131"/>
      <c r="AU105" s="131">
        <v>1</v>
      </c>
      <c r="AV105" s="131"/>
      <c r="AW105" s="131"/>
      <c r="AX105" s="131"/>
      <c r="AY105" s="131"/>
      <c r="AZ105" s="131"/>
      <c r="BA105" s="131"/>
      <c r="BB105" s="131"/>
      <c r="BC105" s="131"/>
      <c r="BD105" s="131">
        <v>1</v>
      </c>
      <c r="BE105" s="131"/>
      <c r="BF105" s="131"/>
      <c r="BG105" s="133"/>
      <c r="BH105" s="131"/>
      <c r="BI105" s="131"/>
      <c r="BJ105" s="131">
        <v>1</v>
      </c>
      <c r="BK105" s="131"/>
      <c r="BL105" s="131"/>
      <c r="BM105" s="131"/>
      <c r="BN105" s="131">
        <v>1</v>
      </c>
      <c r="BO105" s="131"/>
      <c r="BP105" s="131"/>
    </row>
    <row r="106" spans="1:68" s="44" customFormat="1" ht="89.25" customHeight="1" x14ac:dyDescent="0.25">
      <c r="A106" s="46">
        <f>Psychologia!A106</f>
        <v>83</v>
      </c>
      <c r="B106" s="127" t="str">
        <f>IF(Psychologia!B106&gt;0,Psychologia!B106," ")</f>
        <v xml:space="preserve"> </v>
      </c>
      <c r="C106" s="128" t="str">
        <f>IF(Psychologia!C106&gt;0,Psychologia!C106," ")</f>
        <v>2026/2027</v>
      </c>
      <c r="D106" s="128" t="str">
        <f>IF(Psychologia!D106&gt;0,Psychologia!D106," ")</f>
        <v xml:space="preserve"> </v>
      </c>
      <c r="E106" s="127">
        <f>IF(Psychologia!E106&gt;0,Psychologia!E106," ")</f>
        <v>5</v>
      </c>
      <c r="F106" s="32" t="str">
        <f>IF(Psychologia!F106&gt;0,Psychologia!F106," ")</f>
        <v>2030/2031</v>
      </c>
      <c r="G106" s="32" t="str">
        <f>IF(Psychologia!G106&gt;0,Psychologia!G106," ")</f>
        <v>POW</v>
      </c>
      <c r="H106" s="122" t="str">
        <f>IF(Psychologia!H106&gt;0,Psychologia!H106," ")</f>
        <v xml:space="preserve"> </v>
      </c>
      <c r="I106" s="599" t="str">
        <f>IF(Psychologia!I106&gt;0,Psychologia!I106," ")</f>
        <v>Przedmiot fakultatywny 10: Zachowania suicydalne – diagnoza i terapia / PK: ADHD – diagnoza i terapia; 
PZ: Fizjoprofilaktyka</v>
      </c>
      <c r="J106" s="372">
        <f>Psychologia!Y106+Psychologia!AV106</f>
        <v>100</v>
      </c>
      <c r="K106" s="373">
        <f>Psychologia!AS106+Psychologia!BP106</f>
        <v>40</v>
      </c>
      <c r="L106" s="374">
        <f>Psychologia!Z106+Psychologia!AW106</f>
        <v>60</v>
      </c>
      <c r="M106" s="375">
        <f>Psychologia!AB106+Psychologia!AD106+Psychologia!AY106+Psychologia!BA106</f>
        <v>10</v>
      </c>
      <c r="N106" s="376">
        <f>Psychologia!AA106+Psychologia!AX106</f>
        <v>60</v>
      </c>
      <c r="O106" s="377">
        <f>Psychologia!X106+Psychologia!AU106</f>
        <v>4</v>
      </c>
      <c r="P106" s="378" t="str">
        <f>IF(Psychologia!V106&gt;0,Psychologia!V106," ")</f>
        <v>zal/o</v>
      </c>
      <c r="Q106" s="389">
        <f t="shared" ref="Q106:Q121" si="37">SUM(T106:AE106)</f>
        <v>0</v>
      </c>
      <c r="R106" s="390">
        <f t="shared" ref="R106:R121" si="38">SUM(AF106:BG106)</f>
        <v>0</v>
      </c>
      <c r="S106" s="394">
        <f t="shared" ref="S106:S121" si="39">SUM(BH106:BP106)</f>
        <v>0</v>
      </c>
      <c r="T106" s="132"/>
      <c r="U106" s="131"/>
      <c r="V106" s="131"/>
      <c r="W106" s="131"/>
      <c r="X106" s="131"/>
      <c r="Y106" s="131"/>
      <c r="Z106" s="131"/>
      <c r="AA106" s="131"/>
      <c r="AB106" s="131"/>
      <c r="AC106" s="131"/>
      <c r="AD106" s="131"/>
      <c r="AE106" s="133"/>
      <c r="AF106" s="132"/>
      <c r="AG106" s="131"/>
      <c r="AH106" s="131"/>
      <c r="AI106" s="131"/>
      <c r="AJ106" s="131"/>
      <c r="AK106" s="131"/>
      <c r="AL106" s="131"/>
      <c r="AM106" s="131"/>
      <c r="AN106" s="131"/>
      <c r="AO106" s="131"/>
      <c r="AP106" s="131"/>
      <c r="AQ106" s="131"/>
      <c r="AR106" s="131"/>
      <c r="AS106" s="131"/>
      <c r="AT106" s="131"/>
      <c r="AU106" s="131"/>
      <c r="AV106" s="131"/>
      <c r="AW106" s="131"/>
      <c r="AX106" s="131"/>
      <c r="AY106" s="131"/>
      <c r="AZ106" s="131"/>
      <c r="BA106" s="131"/>
      <c r="BB106" s="131"/>
      <c r="BC106" s="131"/>
      <c r="BD106" s="131"/>
      <c r="BE106" s="131"/>
      <c r="BF106" s="131"/>
      <c r="BG106" s="133"/>
      <c r="BH106" s="131"/>
      <c r="BI106" s="131"/>
      <c r="BJ106" s="131"/>
      <c r="BK106" s="131"/>
      <c r="BL106" s="131"/>
      <c r="BM106" s="131"/>
      <c r="BN106" s="131"/>
      <c r="BO106" s="131"/>
      <c r="BP106" s="131"/>
    </row>
    <row r="107" spans="1:68" s="44" customFormat="1" ht="32.25" customHeight="1" x14ac:dyDescent="0.25">
      <c r="A107" s="46">
        <f>Psychologia!A107</f>
        <v>84</v>
      </c>
      <c r="B107" s="127" t="str">
        <f>IF(Psychologia!B107&gt;0,Psychologia!B107," ")</f>
        <v xml:space="preserve"> </v>
      </c>
      <c r="C107" s="128" t="str">
        <f>IF(Psychologia!C107&gt;0,Psychologia!C107," ")</f>
        <v>2026/2027</v>
      </c>
      <c r="D107" s="128" t="str">
        <f>IF(Psychologia!D107&gt;0,Psychologia!D107," ")</f>
        <v xml:space="preserve"> </v>
      </c>
      <c r="E107" s="127">
        <f>IF(Psychologia!E107&gt;0,Psychologia!E107," ")</f>
        <v>5</v>
      </c>
      <c r="F107" s="32" t="str">
        <f>IF(Psychologia!F107&gt;0,Psychologia!F107," ")</f>
        <v>2030/2031</v>
      </c>
      <c r="G107" s="32" t="str">
        <f>IF(Psychologia!G107&gt;0,Psychologia!G107," ")</f>
        <v>RPS</v>
      </c>
      <c r="H107" s="122" t="str">
        <f>IF(Psychologia!H107&gt;0,Psychologia!H107," ")</f>
        <v xml:space="preserve"> </v>
      </c>
      <c r="I107" s="122" t="str">
        <f>IF(Psychologia!I107&gt;0,Psychologia!I107," ")</f>
        <v>Seksuologia</v>
      </c>
      <c r="J107" s="372">
        <f>Psychologia!Y107+Psychologia!AV107</f>
        <v>125</v>
      </c>
      <c r="K107" s="373">
        <f>Psychologia!AS107+Psychologia!BP107</f>
        <v>55</v>
      </c>
      <c r="L107" s="374">
        <f>Psychologia!Z107+Psychologia!AW107</f>
        <v>70</v>
      </c>
      <c r="M107" s="375">
        <f>Psychologia!AB107+Psychologia!AD107+Psychologia!AY107+Psychologia!BA107</f>
        <v>10</v>
      </c>
      <c r="N107" s="376">
        <f>Psychologia!AA107+Psychologia!AX107</f>
        <v>70</v>
      </c>
      <c r="O107" s="377">
        <f>Psychologia!X107+Psychologia!AU107</f>
        <v>5</v>
      </c>
      <c r="P107" s="378" t="str">
        <f>IF(Psychologia!V107&gt;0,Psychologia!V107," ")</f>
        <v>zal/o</v>
      </c>
      <c r="Q107" s="389">
        <f t="shared" si="37"/>
        <v>4</v>
      </c>
      <c r="R107" s="390">
        <f t="shared" si="38"/>
        <v>6</v>
      </c>
      <c r="S107" s="394">
        <f t="shared" si="39"/>
        <v>3</v>
      </c>
      <c r="T107" s="132">
        <v>1</v>
      </c>
      <c r="U107" s="131"/>
      <c r="V107" s="131"/>
      <c r="W107" s="131"/>
      <c r="X107" s="131"/>
      <c r="Y107" s="131">
        <v>1</v>
      </c>
      <c r="Z107" s="131"/>
      <c r="AA107" s="131"/>
      <c r="AB107" s="131">
        <v>1</v>
      </c>
      <c r="AC107" s="131">
        <v>1</v>
      </c>
      <c r="AD107" s="131"/>
      <c r="AE107" s="133"/>
      <c r="AF107" s="132">
        <v>1</v>
      </c>
      <c r="AG107" s="131"/>
      <c r="AH107" s="131"/>
      <c r="AI107" s="131">
        <v>1</v>
      </c>
      <c r="AJ107" s="131">
        <v>1</v>
      </c>
      <c r="AK107" s="131">
        <v>1</v>
      </c>
      <c r="AL107" s="131"/>
      <c r="AM107" s="131"/>
      <c r="AN107" s="131"/>
      <c r="AO107" s="131"/>
      <c r="AP107" s="46"/>
      <c r="AQ107" s="131"/>
      <c r="AR107" s="131"/>
      <c r="AS107" s="131"/>
      <c r="AT107" s="131"/>
      <c r="AU107" s="131"/>
      <c r="AV107" s="131"/>
      <c r="AW107" s="131"/>
      <c r="AX107" s="131"/>
      <c r="AY107" s="131"/>
      <c r="AZ107" s="131">
        <v>1</v>
      </c>
      <c r="BA107" s="131"/>
      <c r="BB107" s="131"/>
      <c r="BC107" s="131"/>
      <c r="BD107" s="131"/>
      <c r="BE107" s="131"/>
      <c r="BF107" s="131"/>
      <c r="BG107" s="133">
        <v>1</v>
      </c>
      <c r="BH107" s="131"/>
      <c r="BI107" s="131">
        <v>1</v>
      </c>
      <c r="BJ107" s="131">
        <v>1</v>
      </c>
      <c r="BK107" s="131"/>
      <c r="BL107" s="131"/>
      <c r="BM107" s="131"/>
      <c r="BN107" s="131"/>
      <c r="BO107" s="131">
        <v>1</v>
      </c>
      <c r="BP107" s="131"/>
    </row>
    <row r="108" spans="1:68" s="44" customFormat="1" ht="32.25" customHeight="1" x14ac:dyDescent="0.25">
      <c r="A108" s="46">
        <f>Psychologia!A108</f>
        <v>85</v>
      </c>
      <c r="B108" s="127" t="str">
        <f>IF(Psychologia!B108&gt;0,Psychologia!B108," ")</f>
        <v xml:space="preserve"> </v>
      </c>
      <c r="C108" s="128" t="str">
        <f>IF(Psychologia!C108&gt;0,Psychologia!C108," ")</f>
        <v>2026/2027</v>
      </c>
      <c r="D108" s="128" t="str">
        <f>IF(Psychologia!D108&gt;0,Psychologia!D108," ")</f>
        <v xml:space="preserve"> </v>
      </c>
      <c r="E108" s="127">
        <f>IF(Psychologia!E108&gt;0,Psychologia!E108," ")</f>
        <v>5</v>
      </c>
      <c r="F108" s="32" t="str">
        <f>IF(Psychologia!F108&gt;0,Psychologia!F108," ")</f>
        <v>2030/2031</v>
      </c>
      <c r="G108" s="32" t="str">
        <f>IF(Psychologia!G108&gt;0,Psychologia!G108," ")</f>
        <v>PSW</v>
      </c>
      <c r="H108" s="122" t="str">
        <f>IF(Psychologia!H108&gt;0,Psychologia!H108," ")</f>
        <v xml:space="preserve"> </v>
      </c>
      <c r="I108" s="122" t="str">
        <f>IF(Psychologia!I108&gt;0,Psychologia!I108," ")</f>
        <v>Seminarium magisterskie III</v>
      </c>
      <c r="J108" s="372">
        <f>Psychologia!Y108+Psychologia!AV108</f>
        <v>150</v>
      </c>
      <c r="K108" s="373">
        <f>Psychologia!AS108+Psychologia!BP108</f>
        <v>110</v>
      </c>
      <c r="L108" s="374">
        <f>Psychologia!Z108+Psychologia!AW108</f>
        <v>40</v>
      </c>
      <c r="M108" s="375">
        <f>Psychologia!AB108+Psychologia!AD108+Psychologia!AY108+Psychologia!BA108</f>
        <v>40</v>
      </c>
      <c r="N108" s="376">
        <f>Psychologia!AA108+Psychologia!AX108</f>
        <v>40</v>
      </c>
      <c r="O108" s="377">
        <f>Psychologia!X108+Psychologia!AU108</f>
        <v>6</v>
      </c>
      <c r="P108" s="378" t="str">
        <f>IF(Psychologia!V108&gt;0,Psychologia!V108," ")</f>
        <v>zal/o</v>
      </c>
      <c r="Q108" s="389">
        <f t="shared" si="37"/>
        <v>3</v>
      </c>
      <c r="R108" s="390">
        <f t="shared" si="38"/>
        <v>8</v>
      </c>
      <c r="S108" s="394">
        <f t="shared" si="39"/>
        <v>2</v>
      </c>
      <c r="T108" s="132"/>
      <c r="U108" s="131">
        <v>1</v>
      </c>
      <c r="V108" s="131"/>
      <c r="W108" s="131">
        <v>1</v>
      </c>
      <c r="X108" s="131"/>
      <c r="Y108" s="131"/>
      <c r="Z108" s="131">
        <v>1</v>
      </c>
      <c r="AA108" s="131"/>
      <c r="AB108" s="131"/>
      <c r="AC108" s="131"/>
      <c r="AD108" s="131"/>
      <c r="AE108" s="133"/>
      <c r="AF108" s="132"/>
      <c r="AG108" s="131"/>
      <c r="AH108" s="131">
        <v>1</v>
      </c>
      <c r="AI108" s="131"/>
      <c r="AJ108" s="131"/>
      <c r="AK108" s="131"/>
      <c r="AL108" s="131"/>
      <c r="AM108" s="131">
        <v>1</v>
      </c>
      <c r="AN108" s="131"/>
      <c r="AO108" s="131">
        <v>1</v>
      </c>
      <c r="AP108" s="131"/>
      <c r="AQ108" s="131"/>
      <c r="AR108" s="131">
        <v>1</v>
      </c>
      <c r="AS108" s="131"/>
      <c r="AT108" s="131"/>
      <c r="AU108" s="131"/>
      <c r="AV108" s="131">
        <v>1</v>
      </c>
      <c r="AW108" s="131">
        <v>1</v>
      </c>
      <c r="AX108" s="131"/>
      <c r="AY108" s="131"/>
      <c r="AZ108" s="131"/>
      <c r="BA108" s="131"/>
      <c r="BB108" s="131"/>
      <c r="BC108" s="131"/>
      <c r="BD108" s="131">
        <v>1</v>
      </c>
      <c r="BE108" s="131">
        <v>1</v>
      </c>
      <c r="BF108" s="131"/>
      <c r="BG108" s="133"/>
      <c r="BH108" s="131">
        <v>1</v>
      </c>
      <c r="BI108" s="131"/>
      <c r="BJ108" s="131"/>
      <c r="BK108" s="131"/>
      <c r="BL108" s="131"/>
      <c r="BM108" s="131"/>
      <c r="BN108" s="131"/>
      <c r="BO108" s="131"/>
      <c r="BP108" s="131">
        <v>1</v>
      </c>
    </row>
    <row r="109" spans="1:68" s="44" customFormat="1" ht="32.25" customHeight="1" x14ac:dyDescent="0.25">
      <c r="A109" s="46">
        <f>Psychologia!A109</f>
        <v>86</v>
      </c>
      <c r="B109" s="127" t="str">
        <f>IF(Psychologia!B109&gt;0,Psychologia!B109," ")</f>
        <v xml:space="preserve"> </v>
      </c>
      <c r="C109" s="128" t="str">
        <f>IF(Psychologia!C109&gt;0,Psychologia!C109," ")</f>
        <v>2026/2027</v>
      </c>
      <c r="D109" s="128" t="str">
        <f>IF(Psychologia!D109&gt;0,Psychologia!D109," ")</f>
        <v xml:space="preserve"> </v>
      </c>
      <c r="E109" s="127">
        <f>IF(Psychologia!E109&gt;0,Psychologia!E109," ")</f>
        <v>5</v>
      </c>
      <c r="F109" s="32" t="str">
        <f>IF(Psychologia!F109&gt;0,Psychologia!F109," ")</f>
        <v>2030/2031</v>
      </c>
      <c r="G109" s="32" t="str">
        <f>IF(Psychologia!G109&gt;0,Psychologia!G109," ")</f>
        <v>PSW</v>
      </c>
      <c r="H109" s="122" t="str">
        <f>IF(Psychologia!H109&gt;0,Psychologia!H109," ")</f>
        <v xml:space="preserve"> </v>
      </c>
      <c r="I109" s="122" t="str">
        <f>IF(Psychologia!I109&gt;0,Psychologia!I109," ")</f>
        <v>Seminarium magisterskie IV</v>
      </c>
      <c r="J109" s="372">
        <f>Psychologia!Y109+Psychologia!AV109</f>
        <v>150</v>
      </c>
      <c r="K109" s="373">
        <f>Psychologia!AS109+Psychologia!BP109</f>
        <v>110</v>
      </c>
      <c r="L109" s="374">
        <f>Psychologia!Z109+Psychologia!AW109</f>
        <v>40</v>
      </c>
      <c r="M109" s="375">
        <f>Psychologia!AB109+Psychologia!AD109+Psychologia!AY109+Psychologia!BA109</f>
        <v>40</v>
      </c>
      <c r="N109" s="376">
        <f>Psychologia!AA109+Psychologia!AX109</f>
        <v>40</v>
      </c>
      <c r="O109" s="377">
        <f>Psychologia!X109+Psychologia!AU109</f>
        <v>6</v>
      </c>
      <c r="P109" s="378" t="str">
        <f>IF(Psychologia!V109&gt;0,Psychologia!V109," ")</f>
        <v>zal/o</v>
      </c>
      <c r="Q109" s="389">
        <f t="shared" si="37"/>
        <v>3</v>
      </c>
      <c r="R109" s="390">
        <f t="shared" si="38"/>
        <v>8</v>
      </c>
      <c r="S109" s="394">
        <f t="shared" si="39"/>
        <v>2</v>
      </c>
      <c r="T109" s="132"/>
      <c r="U109" s="131">
        <v>1</v>
      </c>
      <c r="V109" s="131"/>
      <c r="W109" s="131">
        <v>1</v>
      </c>
      <c r="X109" s="131"/>
      <c r="Y109" s="131"/>
      <c r="Z109" s="131">
        <v>1</v>
      </c>
      <c r="AA109" s="131"/>
      <c r="AB109" s="131"/>
      <c r="AC109" s="131"/>
      <c r="AD109" s="131"/>
      <c r="AE109" s="133"/>
      <c r="AF109" s="132"/>
      <c r="AG109" s="131"/>
      <c r="AH109" s="131">
        <v>1</v>
      </c>
      <c r="AI109" s="131"/>
      <c r="AJ109" s="131"/>
      <c r="AK109" s="131"/>
      <c r="AL109" s="131"/>
      <c r="AM109" s="131">
        <v>1</v>
      </c>
      <c r="AN109" s="131"/>
      <c r="AO109" s="131">
        <v>1</v>
      </c>
      <c r="AP109" s="46"/>
      <c r="AQ109" s="131"/>
      <c r="AR109" s="131">
        <v>1</v>
      </c>
      <c r="AS109" s="131"/>
      <c r="AT109" s="131"/>
      <c r="AU109" s="131"/>
      <c r="AV109" s="131">
        <v>1</v>
      </c>
      <c r="AW109" s="131">
        <v>1</v>
      </c>
      <c r="AX109" s="131"/>
      <c r="AY109" s="131"/>
      <c r="AZ109" s="131"/>
      <c r="BA109" s="131"/>
      <c r="BB109" s="131"/>
      <c r="BC109" s="131"/>
      <c r="BD109" s="131">
        <v>1</v>
      </c>
      <c r="BE109" s="131">
        <v>1</v>
      </c>
      <c r="BF109" s="131"/>
      <c r="BG109" s="133"/>
      <c r="BH109" s="131">
        <v>1</v>
      </c>
      <c r="BI109" s="131"/>
      <c r="BJ109" s="131"/>
      <c r="BK109" s="131"/>
      <c r="BL109" s="131"/>
      <c r="BM109" s="131"/>
      <c r="BN109" s="131"/>
      <c r="BO109" s="131"/>
      <c r="BP109" s="131">
        <v>1</v>
      </c>
    </row>
    <row r="110" spans="1:68" s="44" customFormat="1" ht="32.25" customHeight="1" x14ac:dyDescent="0.25">
      <c r="A110" s="46">
        <f>Psychologia!A110</f>
        <v>87</v>
      </c>
      <c r="B110" s="127" t="str">
        <f>IF(Psychologia!B110&gt;0,Psychologia!B110," ")</f>
        <v xml:space="preserve"> </v>
      </c>
      <c r="C110" s="128" t="str">
        <f>IF(Psychologia!C110&gt;0,Psychologia!C110," ")</f>
        <v>2026/2027</v>
      </c>
      <c r="D110" s="128" t="str">
        <f>IF(Psychologia!D110&gt;0,Psychologia!D110," ")</f>
        <v>PK</v>
      </c>
      <c r="E110" s="127">
        <f>IF(Psychologia!E110&gt;0,Psychologia!E110," ")</f>
        <v>5</v>
      </c>
      <c r="F110" s="32" t="str">
        <f>IF(Psychologia!F110&gt;0,Psychologia!F110," ")</f>
        <v>2030/2031</v>
      </c>
      <c r="G110" s="32" t="str">
        <f>IF(Psychologia!G110&gt;0,Psychologia!G110," ")</f>
        <v>POW</v>
      </c>
      <c r="H110" s="122" t="str">
        <f>IF(Psychologia!H110&gt;0,Psychologia!H110," ")</f>
        <v xml:space="preserve"> </v>
      </c>
      <c r="I110" s="122" t="str">
        <f>IF(Psychologia!I110&gt;0,Psychologia!I110," ")</f>
        <v>Psychoanaliza i terapia psychodynamiczna</v>
      </c>
      <c r="J110" s="372">
        <f>Psychologia!Y110+Psychologia!AV110</f>
        <v>125</v>
      </c>
      <c r="K110" s="373">
        <f>Psychologia!AS110+Psychologia!BP110</f>
        <v>70</v>
      </c>
      <c r="L110" s="374">
        <f>Psychologia!Z110+Psychologia!AW110</f>
        <v>55</v>
      </c>
      <c r="M110" s="375">
        <f>Psychologia!AB110+Psychologia!AD110+Psychologia!AY110+Psychologia!BA110</f>
        <v>10</v>
      </c>
      <c r="N110" s="376">
        <f>Psychologia!AA110+Psychologia!AX110</f>
        <v>55</v>
      </c>
      <c r="O110" s="377" t="e">
        <f>Psychologia!#REF!+Psychologia!X110</f>
        <v>#REF!</v>
      </c>
      <c r="P110" s="378" t="str">
        <f>IF(Psychologia!V110&gt;0,Psychologia!V110," ")</f>
        <v>egz</v>
      </c>
      <c r="Q110" s="389">
        <f t="shared" si="37"/>
        <v>4</v>
      </c>
      <c r="R110" s="390">
        <f t="shared" si="38"/>
        <v>6</v>
      </c>
      <c r="S110" s="394">
        <f t="shared" si="39"/>
        <v>1</v>
      </c>
      <c r="T110" s="132"/>
      <c r="U110" s="131"/>
      <c r="V110" s="131">
        <v>1</v>
      </c>
      <c r="W110" s="131"/>
      <c r="X110" s="131">
        <v>1</v>
      </c>
      <c r="Y110" s="131"/>
      <c r="Z110" s="131"/>
      <c r="AA110" s="131"/>
      <c r="AB110" s="131">
        <v>1</v>
      </c>
      <c r="AC110" s="131">
        <v>1</v>
      </c>
      <c r="AD110" s="131"/>
      <c r="AE110" s="133"/>
      <c r="AF110" s="132"/>
      <c r="AG110" s="131"/>
      <c r="AH110" s="131"/>
      <c r="AI110" s="131"/>
      <c r="AJ110" s="131">
        <v>1</v>
      </c>
      <c r="AK110" s="131">
        <v>1</v>
      </c>
      <c r="AL110" s="131">
        <v>1</v>
      </c>
      <c r="AM110" s="131"/>
      <c r="AN110" s="131">
        <v>1</v>
      </c>
      <c r="AO110" s="131"/>
      <c r="AP110" s="131"/>
      <c r="AQ110" s="131"/>
      <c r="AR110" s="131"/>
      <c r="AS110" s="131"/>
      <c r="AT110" s="131"/>
      <c r="AU110" s="131"/>
      <c r="AV110" s="131"/>
      <c r="AW110" s="131"/>
      <c r="AX110" s="131">
        <v>1</v>
      </c>
      <c r="AY110" s="131"/>
      <c r="AZ110" s="131"/>
      <c r="BA110" s="131"/>
      <c r="BB110" s="131"/>
      <c r="BC110" s="131"/>
      <c r="BD110" s="131"/>
      <c r="BE110" s="131"/>
      <c r="BF110" s="131"/>
      <c r="BG110" s="133">
        <v>1</v>
      </c>
      <c r="BH110" s="131"/>
      <c r="BI110" s="131">
        <v>1</v>
      </c>
      <c r="BJ110" s="131"/>
      <c r="BK110" s="131"/>
      <c r="BL110" s="131"/>
      <c r="BM110" s="131"/>
      <c r="BN110" s="131"/>
      <c r="BO110" s="131"/>
      <c r="BP110" s="131"/>
    </row>
    <row r="111" spans="1:68" s="44" customFormat="1" ht="32.25" customHeight="1" x14ac:dyDescent="0.25">
      <c r="A111" s="46">
        <f>Psychologia!A111</f>
        <v>88</v>
      </c>
      <c r="B111" s="127" t="str">
        <f>IF(Psychologia!B111&gt;0,Psychologia!B111," ")</f>
        <v xml:space="preserve"> </v>
      </c>
      <c r="C111" s="128" t="str">
        <f>IF(Psychologia!C111&gt;0,Psychologia!C111," ")</f>
        <v>2026/2027</v>
      </c>
      <c r="D111" s="128" t="str">
        <f>IF(Psychologia!D111&gt;0,Psychologia!D111," ")</f>
        <v>PK</v>
      </c>
      <c r="E111" s="127">
        <f>IF(Psychologia!E111&gt;0,Psychologia!E111," ")</f>
        <v>5</v>
      </c>
      <c r="F111" s="32" t="str">
        <f>IF(Psychologia!F111&gt;0,Psychologia!F111," ")</f>
        <v>2030/2031</v>
      </c>
      <c r="G111" s="32" t="str">
        <f>IF(Psychologia!G111&gt;0,Psychologia!G111," ")</f>
        <v>POW</v>
      </c>
      <c r="H111" s="122" t="str">
        <f>IF(Psychologia!H111&gt;0,Psychologia!H111," ")</f>
        <v xml:space="preserve"> </v>
      </c>
      <c r="I111" s="122" t="str">
        <f>IF(Psychologia!I111&gt;0,Psychologia!I111," ")</f>
        <v>Psychogeriatria</v>
      </c>
      <c r="J111" s="372">
        <f>Psychologia!Y111+Psychologia!AV111</f>
        <v>175</v>
      </c>
      <c r="K111" s="373">
        <f>Psychologia!AS111+Psychologia!BP111</f>
        <v>85</v>
      </c>
      <c r="L111" s="374">
        <f>Psychologia!Z111+Psychologia!AW111</f>
        <v>90</v>
      </c>
      <c r="M111" s="375">
        <f>Psychologia!AB111+Psychologia!AD111+Psychologia!AY111+Psychologia!BA111</f>
        <v>10</v>
      </c>
      <c r="N111" s="376">
        <f>Psychologia!AA111+Psychologia!AX111</f>
        <v>90</v>
      </c>
      <c r="O111" s="377" t="e">
        <f>Psychologia!AU111+Psychologia!#REF!</f>
        <v>#REF!</v>
      </c>
      <c r="P111" s="378" t="str">
        <f>IF(Psychologia!V111&gt;0,Psychologia!V111," ")</f>
        <v>egz</v>
      </c>
      <c r="Q111" s="389">
        <f t="shared" si="37"/>
        <v>3</v>
      </c>
      <c r="R111" s="390">
        <f t="shared" si="38"/>
        <v>5</v>
      </c>
      <c r="S111" s="394">
        <f t="shared" si="39"/>
        <v>3</v>
      </c>
      <c r="T111" s="132"/>
      <c r="U111" s="131">
        <v>1</v>
      </c>
      <c r="V111" s="131"/>
      <c r="W111" s="131"/>
      <c r="X111" s="131"/>
      <c r="Y111" s="131"/>
      <c r="Z111" s="131"/>
      <c r="AA111" s="131"/>
      <c r="AB111" s="131">
        <v>1</v>
      </c>
      <c r="AC111" s="131">
        <v>1</v>
      </c>
      <c r="AD111" s="131"/>
      <c r="AE111" s="133"/>
      <c r="AF111" s="132">
        <v>1</v>
      </c>
      <c r="AG111" s="131"/>
      <c r="AH111" s="131"/>
      <c r="AI111" s="131"/>
      <c r="AJ111" s="131">
        <v>1</v>
      </c>
      <c r="AK111" s="131"/>
      <c r="AL111" s="131"/>
      <c r="AM111" s="131"/>
      <c r="AN111" s="131"/>
      <c r="AO111" s="131"/>
      <c r="AP111" s="131"/>
      <c r="AQ111" s="131"/>
      <c r="AR111" s="131"/>
      <c r="AS111" s="131"/>
      <c r="AT111" s="131"/>
      <c r="AU111" s="131"/>
      <c r="AV111" s="131"/>
      <c r="AW111" s="131"/>
      <c r="AX111" s="131"/>
      <c r="AY111" s="131"/>
      <c r="AZ111" s="131">
        <v>1</v>
      </c>
      <c r="BA111" s="131">
        <v>1</v>
      </c>
      <c r="BB111" s="131">
        <v>1</v>
      </c>
      <c r="BC111" s="131"/>
      <c r="BD111" s="131"/>
      <c r="BE111" s="131"/>
      <c r="BF111" s="131"/>
      <c r="BG111" s="133"/>
      <c r="BH111" s="131"/>
      <c r="BI111" s="131"/>
      <c r="BJ111" s="131">
        <v>1</v>
      </c>
      <c r="BK111" s="131">
        <v>1</v>
      </c>
      <c r="BL111" s="131">
        <v>1</v>
      </c>
      <c r="BM111" s="131"/>
      <c r="BN111" s="131"/>
      <c r="BO111" s="131"/>
      <c r="BP111" s="131"/>
    </row>
    <row r="112" spans="1:68" s="44" customFormat="1" ht="32.25" customHeight="1" x14ac:dyDescent="0.25">
      <c r="A112" s="46">
        <f>Psychologia!A112</f>
        <v>89</v>
      </c>
      <c r="B112" s="127" t="str">
        <f>IF(Psychologia!B112&gt;0,Psychologia!B112," ")</f>
        <v xml:space="preserve"> </v>
      </c>
      <c r="C112" s="128" t="str">
        <f>IF(Psychologia!C112&gt;0,Psychologia!C112," ")</f>
        <v>2026/2027</v>
      </c>
      <c r="D112" s="128" t="str">
        <f>IF(Psychologia!D112&gt;0,Psychologia!D112," ")</f>
        <v>PK</v>
      </c>
      <c r="E112" s="127">
        <f>IF(Psychologia!E112&gt;0,Psychologia!E112," ")</f>
        <v>5</v>
      </c>
      <c r="F112" s="32" t="str">
        <f>IF(Psychologia!F112&gt;0,Psychologia!F112," ")</f>
        <v>2030/2031</v>
      </c>
      <c r="G112" s="32" t="str">
        <f>IF(Psychologia!G112&gt;0,Psychologia!G112," ")</f>
        <v>POW</v>
      </c>
      <c r="H112" s="122" t="str">
        <f>IF(Psychologia!H112&gt;0,Psychologia!H112," ")</f>
        <v xml:space="preserve"> </v>
      </c>
      <c r="I112" s="122" t="str">
        <f>IF(Psychologia!I112&gt;0,Psychologia!I112," ")</f>
        <v>Psychologia rodziny</v>
      </c>
      <c r="J112" s="372">
        <f>Psychologia!Y112+Psychologia!AV112</f>
        <v>150</v>
      </c>
      <c r="K112" s="373">
        <f>Psychologia!AS112+Psychologia!BP112</f>
        <v>95</v>
      </c>
      <c r="L112" s="374">
        <f>Psychologia!Z112+Psychologia!AW112</f>
        <v>55</v>
      </c>
      <c r="M112" s="375">
        <f>Psychologia!AB112+Psychologia!AD112+Psychologia!AY112+Psychologia!BA112</f>
        <v>10</v>
      </c>
      <c r="N112" s="376">
        <f>Psychologia!AA112+Psychologia!AX112</f>
        <v>55</v>
      </c>
      <c r="O112" s="377">
        <f>Psychologia!X112+Psychologia!AU112</f>
        <v>6</v>
      </c>
      <c r="P112" s="378" t="str">
        <f>IF(Psychologia!V112&gt;0,Psychologia!V112," ")</f>
        <v>zal/o</v>
      </c>
      <c r="Q112" s="389">
        <f t="shared" si="37"/>
        <v>4</v>
      </c>
      <c r="R112" s="390">
        <f t="shared" si="38"/>
        <v>7</v>
      </c>
      <c r="S112" s="394">
        <f t="shared" si="39"/>
        <v>1</v>
      </c>
      <c r="T112" s="132"/>
      <c r="U112" s="131">
        <v>1</v>
      </c>
      <c r="V112" s="131">
        <v>1</v>
      </c>
      <c r="W112" s="131"/>
      <c r="X112" s="131">
        <v>1</v>
      </c>
      <c r="Y112" s="131"/>
      <c r="Z112" s="131"/>
      <c r="AA112" s="131"/>
      <c r="AB112" s="131"/>
      <c r="AC112" s="131">
        <v>1</v>
      </c>
      <c r="AD112" s="131"/>
      <c r="AE112" s="133"/>
      <c r="AF112" s="132"/>
      <c r="AG112" s="131"/>
      <c r="AH112" s="131"/>
      <c r="AI112" s="131">
        <v>1</v>
      </c>
      <c r="AJ112" s="131">
        <v>1</v>
      </c>
      <c r="AK112" s="131">
        <v>1</v>
      </c>
      <c r="AL112" s="131">
        <v>1</v>
      </c>
      <c r="AM112" s="131"/>
      <c r="AN112" s="131">
        <v>1</v>
      </c>
      <c r="AO112" s="131"/>
      <c r="AP112" s="131">
        <v>1</v>
      </c>
      <c r="AQ112" s="131"/>
      <c r="AR112" s="131"/>
      <c r="AS112" s="131"/>
      <c r="AT112" s="131"/>
      <c r="AU112" s="131"/>
      <c r="AV112" s="131"/>
      <c r="AW112" s="131"/>
      <c r="AX112" s="131"/>
      <c r="AY112" s="131"/>
      <c r="AZ112" s="131"/>
      <c r="BA112" s="131"/>
      <c r="BB112" s="131"/>
      <c r="BC112" s="131"/>
      <c r="BD112" s="131"/>
      <c r="BE112" s="131"/>
      <c r="BF112" s="131"/>
      <c r="BG112" s="133">
        <v>1</v>
      </c>
      <c r="BH112" s="131"/>
      <c r="BI112" s="131"/>
      <c r="BJ112" s="131">
        <v>1</v>
      </c>
      <c r="BK112" s="131"/>
      <c r="BL112" s="131"/>
      <c r="BM112" s="131"/>
      <c r="BN112" s="131"/>
      <c r="BO112" s="131"/>
      <c r="BP112" s="131"/>
    </row>
    <row r="113" spans="1:82" s="44" customFormat="1" ht="32.25" customHeight="1" x14ac:dyDescent="0.25">
      <c r="A113" s="46">
        <f>Psychologia!A113</f>
        <v>90</v>
      </c>
      <c r="B113" s="127" t="str">
        <f>IF(Psychologia!B113&gt;0,Psychologia!B113," ")</f>
        <v xml:space="preserve"> </v>
      </c>
      <c r="C113" s="128" t="str">
        <f>IF(Psychologia!C113&gt;0,Psychologia!C113," ")</f>
        <v>2026/2027</v>
      </c>
      <c r="D113" s="128" t="str">
        <f>IF(Psychologia!D113&gt;0,Psychologia!D113," ")</f>
        <v>PK</v>
      </c>
      <c r="E113" s="127">
        <f>IF(Psychologia!E113&gt;0,Psychologia!E113," ")</f>
        <v>5</v>
      </c>
      <c r="F113" s="32" t="str">
        <f>IF(Psychologia!F113&gt;0,Psychologia!F113," ")</f>
        <v>2030/2031</v>
      </c>
      <c r="G113" s="32" t="str">
        <f>IF(Psychologia!G113&gt;0,Psychologia!G113," ")</f>
        <v>POW</v>
      </c>
      <c r="H113" s="122" t="str">
        <f>IF(Psychologia!H113&gt;0,Psychologia!H113," ")</f>
        <v xml:space="preserve"> </v>
      </c>
      <c r="I113" s="122" t="str">
        <f>IF(Psychologia!I113&gt;0,Psychologia!I113," ")</f>
        <v>Psychoterapia humanistyczno-egzystencjalna</v>
      </c>
      <c r="J113" s="372">
        <f>Psychologia!Y113+Psychologia!AV113</f>
        <v>125</v>
      </c>
      <c r="K113" s="373">
        <f>Psychologia!AS113+Psychologia!BP113</f>
        <v>70</v>
      </c>
      <c r="L113" s="374">
        <f>Psychologia!Z113+Psychologia!AW113</f>
        <v>55</v>
      </c>
      <c r="M113" s="375">
        <f>Psychologia!AB113+Psychologia!AD113+Psychologia!AY113+Psychologia!BA113</f>
        <v>10</v>
      </c>
      <c r="N113" s="376">
        <f>Psychologia!AA113+Psychologia!AX113</f>
        <v>55</v>
      </c>
      <c r="O113" s="377">
        <f>Psychologia!X113+Psychologia!AU113</f>
        <v>5</v>
      </c>
      <c r="P113" s="378" t="str">
        <f>IF(Psychologia!V113&gt;0,Psychologia!V113," ")</f>
        <v>egz</v>
      </c>
      <c r="Q113" s="389">
        <f t="shared" si="37"/>
        <v>4</v>
      </c>
      <c r="R113" s="390">
        <f t="shared" si="38"/>
        <v>6</v>
      </c>
      <c r="S113" s="394">
        <f t="shared" si="39"/>
        <v>1</v>
      </c>
      <c r="T113" s="132"/>
      <c r="U113" s="131"/>
      <c r="V113" s="131">
        <v>1</v>
      </c>
      <c r="W113" s="131"/>
      <c r="X113" s="131">
        <v>1</v>
      </c>
      <c r="Y113" s="131"/>
      <c r="Z113" s="131"/>
      <c r="AA113" s="131"/>
      <c r="AB113" s="131">
        <v>1</v>
      </c>
      <c r="AC113" s="131">
        <v>1</v>
      </c>
      <c r="AD113" s="131"/>
      <c r="AE113" s="133"/>
      <c r="AF113" s="132"/>
      <c r="AG113" s="131"/>
      <c r="AH113" s="131"/>
      <c r="AI113" s="131"/>
      <c r="AJ113" s="131">
        <v>1</v>
      </c>
      <c r="AK113" s="131">
        <v>1</v>
      </c>
      <c r="AL113" s="131">
        <v>1</v>
      </c>
      <c r="AM113" s="131"/>
      <c r="AN113" s="131">
        <v>1</v>
      </c>
      <c r="AO113" s="131"/>
      <c r="AP113" s="131"/>
      <c r="AQ113" s="131"/>
      <c r="AR113" s="131"/>
      <c r="AS113" s="131"/>
      <c r="AT113" s="131"/>
      <c r="AU113" s="131"/>
      <c r="AV113" s="131"/>
      <c r="AW113" s="131"/>
      <c r="AX113" s="131">
        <v>1</v>
      </c>
      <c r="AY113" s="131"/>
      <c r="AZ113" s="131"/>
      <c r="BA113" s="131"/>
      <c r="BB113" s="131"/>
      <c r="BC113" s="131"/>
      <c r="BD113" s="131"/>
      <c r="BE113" s="131"/>
      <c r="BF113" s="131"/>
      <c r="BG113" s="133">
        <v>1</v>
      </c>
      <c r="BH113" s="131"/>
      <c r="BI113" s="131">
        <v>1</v>
      </c>
      <c r="BJ113" s="131"/>
      <c r="BK113" s="131"/>
      <c r="BL113" s="131"/>
      <c r="BM113" s="131"/>
      <c r="BN113" s="131"/>
      <c r="BO113" s="131"/>
      <c r="BP113" s="131"/>
    </row>
    <row r="114" spans="1:82" s="44" customFormat="1" ht="32.25" customHeight="1" x14ac:dyDescent="0.25">
      <c r="A114" s="46">
        <f>Psychologia!A114</f>
        <v>91</v>
      </c>
      <c r="B114" s="127" t="str">
        <f>IF(Psychologia!B114&gt;0,Psychologia!B114," ")</f>
        <v xml:space="preserve"> </v>
      </c>
      <c r="C114" s="128" t="str">
        <f>IF(Psychologia!C114&gt;0,Psychologia!C114," ")</f>
        <v>2026/2027</v>
      </c>
      <c r="D114" s="128" t="str">
        <f>IF(Psychologia!D114&gt;0,Psychologia!D114," ")</f>
        <v>PK</v>
      </c>
      <c r="E114" s="127">
        <f>IF(Psychologia!E114&gt;0,Psychologia!E114," ")</f>
        <v>5</v>
      </c>
      <c r="F114" s="32" t="str">
        <f>IF(Psychologia!F114&gt;0,Psychologia!F114," ")</f>
        <v>2030/2031</v>
      </c>
      <c r="G114" s="32" t="str">
        <f>IF(Psychologia!G114&gt;0,Psychologia!G114," ")</f>
        <v>POW</v>
      </c>
      <c r="H114" s="122" t="str">
        <f>IF(Psychologia!H114&gt;0,Psychologia!H114," ")</f>
        <v xml:space="preserve"> </v>
      </c>
      <c r="I114" s="122" t="str">
        <f>IF(Psychologia!I114&gt;0,Psychologia!I114," ")</f>
        <v>Psychoterapia poznawczo-behawioralna</v>
      </c>
      <c r="J114" s="372">
        <f>Psychologia!Y114+Psychologia!AV114</f>
        <v>125</v>
      </c>
      <c r="K114" s="373">
        <f>Psychologia!AS114+Psychologia!BP114</f>
        <v>70</v>
      </c>
      <c r="L114" s="374">
        <f>Psychologia!Z114+Psychologia!AW114</f>
        <v>55</v>
      </c>
      <c r="M114" s="375">
        <f>Psychologia!AB114+Psychologia!AD114+Psychologia!AY114+Psychologia!BA114</f>
        <v>10</v>
      </c>
      <c r="N114" s="376">
        <f>Psychologia!AA114+Psychologia!AX114</f>
        <v>55</v>
      </c>
      <c r="O114" s="377">
        <f>Psychologia!X114+Psychologia!AU114</f>
        <v>5</v>
      </c>
      <c r="P114" s="378" t="str">
        <f>IF(Psychologia!V114&gt;0,Psychologia!V114," ")</f>
        <v>egz</v>
      </c>
      <c r="Q114" s="389">
        <f t="shared" si="37"/>
        <v>4</v>
      </c>
      <c r="R114" s="390">
        <f t="shared" si="38"/>
        <v>6</v>
      </c>
      <c r="S114" s="394">
        <f t="shared" si="39"/>
        <v>1</v>
      </c>
      <c r="T114" s="132"/>
      <c r="U114" s="131"/>
      <c r="V114" s="131">
        <v>1</v>
      </c>
      <c r="W114" s="131"/>
      <c r="X114" s="131">
        <v>1</v>
      </c>
      <c r="Y114" s="131"/>
      <c r="Z114" s="131"/>
      <c r="AA114" s="131"/>
      <c r="AB114" s="131">
        <v>1</v>
      </c>
      <c r="AC114" s="131">
        <v>1</v>
      </c>
      <c r="AD114" s="131"/>
      <c r="AE114" s="133"/>
      <c r="AF114" s="132"/>
      <c r="AG114" s="131"/>
      <c r="AH114" s="131"/>
      <c r="AI114" s="131"/>
      <c r="AJ114" s="131">
        <v>1</v>
      </c>
      <c r="AK114" s="131">
        <v>1</v>
      </c>
      <c r="AL114" s="131">
        <v>1</v>
      </c>
      <c r="AM114" s="131"/>
      <c r="AN114" s="131">
        <v>1</v>
      </c>
      <c r="AO114" s="131"/>
      <c r="AP114" s="131"/>
      <c r="AQ114" s="131"/>
      <c r="AR114" s="131"/>
      <c r="AS114" s="131"/>
      <c r="AT114" s="131"/>
      <c r="AU114" s="131"/>
      <c r="AV114" s="131"/>
      <c r="AW114" s="131"/>
      <c r="AX114" s="131">
        <v>1</v>
      </c>
      <c r="AY114" s="131"/>
      <c r="AZ114" s="131"/>
      <c r="BA114" s="131"/>
      <c r="BB114" s="131"/>
      <c r="BC114" s="131"/>
      <c r="BD114" s="131"/>
      <c r="BE114" s="131"/>
      <c r="BF114" s="131"/>
      <c r="BG114" s="133">
        <v>1</v>
      </c>
      <c r="BH114" s="131"/>
      <c r="BI114" s="131">
        <v>1</v>
      </c>
      <c r="BJ114" s="131"/>
      <c r="BK114" s="131"/>
      <c r="BL114" s="131"/>
      <c r="BM114" s="131"/>
      <c r="BN114" s="131"/>
      <c r="BO114" s="131"/>
      <c r="BP114" s="131"/>
    </row>
    <row r="115" spans="1:82" s="44" customFormat="1" ht="32.25" customHeight="1" x14ac:dyDescent="0.25">
      <c r="A115" s="46">
        <f>Psychologia!A115</f>
        <v>92</v>
      </c>
      <c r="B115" s="127" t="str">
        <f>IF(Psychologia!B115&gt;0,Psychologia!B115," ")</f>
        <v xml:space="preserve"> </v>
      </c>
      <c r="C115" s="128" t="str">
        <f>IF(Psychologia!C115&gt;0,Psychologia!C115," ")</f>
        <v>2026/2027</v>
      </c>
      <c r="D115" s="128" t="str">
        <f>IF(Psychologia!D115&gt;0,Psychologia!D115," ")</f>
        <v>PK</v>
      </c>
      <c r="E115" s="127">
        <f>IF(Psychologia!E115&gt;0,Psychologia!E115," ")</f>
        <v>5</v>
      </c>
      <c r="F115" s="32" t="str">
        <f>IF(Psychologia!F115&gt;0,Psychologia!F115," ")</f>
        <v>2030/2031</v>
      </c>
      <c r="G115" s="32" t="str">
        <f>IF(Psychologia!G115&gt;0,Psychologia!G115," ")</f>
        <v>POW</v>
      </c>
      <c r="H115" s="122" t="str">
        <f>IF(Psychologia!H115&gt;0,Psychologia!H115," ")</f>
        <v xml:space="preserve"> </v>
      </c>
      <c r="I115" s="122" t="str">
        <f>IF(Psychologia!I115&gt;0,Psychologia!I115," ")</f>
        <v>Psychoterapia systemowa</v>
      </c>
      <c r="J115" s="372">
        <f>Psychologia!Y115+Psychologia!AV115</f>
        <v>125</v>
      </c>
      <c r="K115" s="373">
        <f>Psychologia!AS115+Psychologia!BP115</f>
        <v>70</v>
      </c>
      <c r="L115" s="374">
        <f>Psychologia!Z115+Psychologia!AW115</f>
        <v>55</v>
      </c>
      <c r="M115" s="375">
        <f>Psychologia!AB115+Psychologia!AD115+Psychologia!AY115+Psychologia!BA115</f>
        <v>10</v>
      </c>
      <c r="N115" s="376">
        <f>Psychologia!AA115+Psychologia!AX115</f>
        <v>55</v>
      </c>
      <c r="O115" s="377">
        <f>Psychologia!X115+Psychologia!AU115</f>
        <v>5</v>
      </c>
      <c r="P115" s="378" t="str">
        <f>IF(Psychologia!V115&gt;0,Psychologia!V115," ")</f>
        <v>egz</v>
      </c>
      <c r="Q115" s="389">
        <f t="shared" si="37"/>
        <v>4</v>
      </c>
      <c r="R115" s="390">
        <f t="shared" si="38"/>
        <v>6</v>
      </c>
      <c r="S115" s="394">
        <f t="shared" si="39"/>
        <v>1</v>
      </c>
      <c r="T115" s="132"/>
      <c r="U115" s="131"/>
      <c r="V115" s="131">
        <v>1</v>
      </c>
      <c r="W115" s="131"/>
      <c r="X115" s="131">
        <v>1</v>
      </c>
      <c r="Y115" s="131"/>
      <c r="Z115" s="131"/>
      <c r="AA115" s="131"/>
      <c r="AB115" s="131">
        <v>1</v>
      </c>
      <c r="AC115" s="131">
        <v>1</v>
      </c>
      <c r="AD115" s="131"/>
      <c r="AE115" s="133"/>
      <c r="AF115" s="132"/>
      <c r="AG115" s="131"/>
      <c r="AH115" s="131"/>
      <c r="AI115" s="131"/>
      <c r="AJ115" s="131">
        <v>1</v>
      </c>
      <c r="AK115" s="131">
        <v>1</v>
      </c>
      <c r="AL115" s="131">
        <v>1</v>
      </c>
      <c r="AM115" s="131"/>
      <c r="AN115" s="131">
        <v>1</v>
      </c>
      <c r="AO115" s="131"/>
      <c r="AP115" s="131"/>
      <c r="AQ115" s="131"/>
      <c r="AR115" s="131"/>
      <c r="AS115" s="131"/>
      <c r="AT115" s="131"/>
      <c r="AU115" s="131"/>
      <c r="AV115" s="131"/>
      <c r="AW115" s="131"/>
      <c r="AX115" s="131">
        <v>1</v>
      </c>
      <c r="AY115" s="131"/>
      <c r="AZ115" s="131"/>
      <c r="BA115" s="131"/>
      <c r="BB115" s="131"/>
      <c r="BC115" s="131"/>
      <c r="BD115" s="131"/>
      <c r="BE115" s="131"/>
      <c r="BF115" s="131"/>
      <c r="BG115" s="133">
        <v>1</v>
      </c>
      <c r="BH115" s="131"/>
      <c r="BI115" s="131">
        <v>1</v>
      </c>
      <c r="BJ115" s="131"/>
      <c r="BK115" s="131"/>
      <c r="BL115" s="131"/>
      <c r="BM115" s="131"/>
      <c r="BN115" s="131"/>
      <c r="BO115" s="131"/>
      <c r="BP115" s="131"/>
    </row>
    <row r="116" spans="1:82" s="44" customFormat="1" ht="32.25" customHeight="1" x14ac:dyDescent="0.25">
      <c r="A116" s="46">
        <f>Psychologia!A116</f>
        <v>93</v>
      </c>
      <c r="B116" s="127" t="str">
        <f>IF(Psychologia!B116&gt;0,Psychologia!B116," ")</f>
        <v xml:space="preserve"> </v>
      </c>
      <c r="C116" s="128" t="str">
        <f>IF(Psychologia!C116&gt;0,Psychologia!C116," ")</f>
        <v>2026/2027</v>
      </c>
      <c r="D116" s="128" t="str">
        <f>IF(Psychologia!D116&gt;0,Psychologia!D116," ")</f>
        <v>PZ</v>
      </c>
      <c r="E116" s="127">
        <f>IF(Psychologia!E116&gt;0,Psychologia!E116," ")</f>
        <v>5</v>
      </c>
      <c r="F116" s="32" t="str">
        <f>IF(Psychologia!F116&gt;0,Psychologia!F116," ")</f>
        <v>2030/2031</v>
      </c>
      <c r="G116" s="32" t="str">
        <f>IF(Psychologia!G116&gt;0,Psychologia!G116," ")</f>
        <v>POW</v>
      </c>
      <c r="H116" s="122" t="str">
        <f>IF(Psychologia!H116&gt;0,Psychologia!H116," ")</f>
        <v xml:space="preserve"> </v>
      </c>
      <c r="I116" s="122" t="str">
        <f>IF(Psychologia!I116&gt;0,Psychologia!I116," ")</f>
        <v>Elementy psychologii pracy i organizacji</v>
      </c>
      <c r="J116" s="372">
        <f>Psychologia!Y116+Psychologia!AV116</f>
        <v>100</v>
      </c>
      <c r="K116" s="373">
        <f>Psychologia!AS116+Psychologia!BP116</f>
        <v>55</v>
      </c>
      <c r="L116" s="374">
        <f>Psychologia!Z116+Psychologia!AW116</f>
        <v>45</v>
      </c>
      <c r="M116" s="375">
        <f>Psychologia!AB116+Psychologia!AD116+Psychologia!AY116+Psychologia!BA116</f>
        <v>10</v>
      </c>
      <c r="N116" s="376">
        <f>Psychologia!AA116+Psychologia!AX116</f>
        <v>45</v>
      </c>
      <c r="O116" s="377">
        <f>Psychologia!X116+Psychologia!AU116</f>
        <v>4</v>
      </c>
      <c r="P116" s="378" t="str">
        <f>IF(Psychologia!V116&gt;0,Psychologia!V116," ")</f>
        <v>egz</v>
      </c>
      <c r="Q116" s="389">
        <f t="shared" si="37"/>
        <v>2</v>
      </c>
      <c r="R116" s="390">
        <f t="shared" si="38"/>
        <v>5</v>
      </c>
      <c r="S116" s="394">
        <f t="shared" si="39"/>
        <v>1</v>
      </c>
      <c r="T116" s="132"/>
      <c r="U116" s="131"/>
      <c r="V116" s="131"/>
      <c r="W116" s="131"/>
      <c r="X116" s="131"/>
      <c r="Y116" s="131"/>
      <c r="Z116" s="131"/>
      <c r="AA116" s="131"/>
      <c r="AB116" s="131"/>
      <c r="AC116" s="131"/>
      <c r="AD116" s="131">
        <v>1</v>
      </c>
      <c r="AE116" s="133">
        <v>1</v>
      </c>
      <c r="AF116" s="132"/>
      <c r="AG116" s="131"/>
      <c r="AH116" s="131"/>
      <c r="AI116" s="131"/>
      <c r="AJ116" s="131"/>
      <c r="AK116" s="131"/>
      <c r="AL116" s="131"/>
      <c r="AM116" s="131"/>
      <c r="AN116" s="131">
        <v>1</v>
      </c>
      <c r="AO116" s="131"/>
      <c r="AP116" s="131">
        <v>1</v>
      </c>
      <c r="AQ116" s="131"/>
      <c r="AR116" s="131">
        <v>1</v>
      </c>
      <c r="AS116" s="131">
        <v>1</v>
      </c>
      <c r="AT116" s="131"/>
      <c r="AU116" s="131">
        <v>1</v>
      </c>
      <c r="AV116" s="131"/>
      <c r="AW116" s="131"/>
      <c r="AX116" s="131"/>
      <c r="AY116" s="131"/>
      <c r="AZ116" s="131"/>
      <c r="BA116" s="131"/>
      <c r="BB116" s="131"/>
      <c r="BC116" s="131"/>
      <c r="BD116" s="131"/>
      <c r="BE116" s="131"/>
      <c r="BF116" s="131"/>
      <c r="BG116" s="133"/>
      <c r="BH116" s="131"/>
      <c r="BI116" s="131"/>
      <c r="BJ116" s="131">
        <v>1</v>
      </c>
      <c r="BK116" s="131"/>
      <c r="BL116" s="131"/>
      <c r="BM116" s="131"/>
      <c r="BN116" s="131"/>
      <c r="BO116" s="131"/>
      <c r="BP116" s="131"/>
    </row>
    <row r="117" spans="1:82" s="44" customFormat="1" ht="32.25" customHeight="1" x14ac:dyDescent="0.25">
      <c r="A117" s="46">
        <f>Psychologia!A117</f>
        <v>94</v>
      </c>
      <c r="B117" s="127" t="str">
        <f>IF(Psychologia!B117&gt;0,Psychologia!B117," ")</f>
        <v xml:space="preserve"> </v>
      </c>
      <c r="C117" s="128" t="str">
        <f>IF(Psychologia!C117&gt;0,Psychologia!C117," ")</f>
        <v>2026/2027</v>
      </c>
      <c r="D117" s="128" t="str">
        <f>IF(Psychologia!D117&gt;0,Psychologia!D117," ")</f>
        <v>PZ</v>
      </c>
      <c r="E117" s="127">
        <f>IF(Psychologia!E117&gt;0,Psychologia!E117," ")</f>
        <v>5</v>
      </c>
      <c r="F117" s="32" t="str">
        <f>IF(Psychologia!F117&gt;0,Psychologia!F117," ")</f>
        <v>2030/2031</v>
      </c>
      <c r="G117" s="32" t="str">
        <f>IF(Psychologia!G117&gt;0,Psychologia!G117," ")</f>
        <v>POW</v>
      </c>
      <c r="H117" s="122" t="str">
        <f>IF(Psychologia!H117&gt;0,Psychologia!H117," ")</f>
        <v xml:space="preserve"> </v>
      </c>
      <c r="I117" s="122" t="str">
        <f>IF(Psychologia!I117&gt;0,Psychologia!I117," ")</f>
        <v>Psychodietetyka</v>
      </c>
      <c r="J117" s="372">
        <f>Psychologia!Y117+Psychologia!AV117</f>
        <v>150</v>
      </c>
      <c r="K117" s="373">
        <f>Psychologia!AS117+Psychologia!BP117</f>
        <v>95</v>
      </c>
      <c r="L117" s="374">
        <f>Psychologia!Z117+Psychologia!AW117</f>
        <v>55</v>
      </c>
      <c r="M117" s="375">
        <f>Psychologia!AB117+Psychologia!AD117+Psychologia!AY117+Psychologia!BA117</f>
        <v>10</v>
      </c>
      <c r="N117" s="376">
        <f>Psychologia!AA117+Psychologia!AX117</f>
        <v>55</v>
      </c>
      <c r="O117" s="377">
        <f>Psychologia!X117+Psychologia!AU117</f>
        <v>6</v>
      </c>
      <c r="P117" s="378" t="str">
        <f>IF(Psychologia!V117&gt;0,Psychologia!V117," ")</f>
        <v>egz</v>
      </c>
      <c r="Q117" s="389">
        <f t="shared" si="37"/>
        <v>2</v>
      </c>
      <c r="R117" s="390">
        <f t="shared" si="38"/>
        <v>7</v>
      </c>
      <c r="S117" s="394">
        <f t="shared" si="39"/>
        <v>3</v>
      </c>
      <c r="T117" s="132"/>
      <c r="U117" s="131"/>
      <c r="V117" s="131">
        <v>1</v>
      </c>
      <c r="W117" s="131"/>
      <c r="X117" s="131"/>
      <c r="Y117" s="131"/>
      <c r="Z117" s="131"/>
      <c r="AA117" s="131"/>
      <c r="AB117" s="131"/>
      <c r="AC117" s="131">
        <v>1</v>
      </c>
      <c r="AD117" s="131"/>
      <c r="AE117" s="133"/>
      <c r="AF117" s="132"/>
      <c r="AG117" s="131"/>
      <c r="AH117" s="131"/>
      <c r="AI117" s="131"/>
      <c r="AJ117" s="131">
        <v>1</v>
      </c>
      <c r="AK117" s="131">
        <v>1</v>
      </c>
      <c r="AL117" s="131">
        <v>1</v>
      </c>
      <c r="AM117" s="131"/>
      <c r="AN117" s="131"/>
      <c r="AO117" s="131"/>
      <c r="AP117" s="131">
        <v>1</v>
      </c>
      <c r="AQ117" s="131"/>
      <c r="AR117" s="131"/>
      <c r="AS117" s="131"/>
      <c r="AT117" s="131"/>
      <c r="AU117" s="131"/>
      <c r="AV117" s="131"/>
      <c r="AW117" s="131"/>
      <c r="AX117" s="131"/>
      <c r="AY117" s="131"/>
      <c r="AZ117" s="131">
        <v>1</v>
      </c>
      <c r="BA117" s="131">
        <v>1</v>
      </c>
      <c r="BB117" s="131">
        <v>1</v>
      </c>
      <c r="BC117" s="131"/>
      <c r="BD117" s="131"/>
      <c r="BE117" s="131"/>
      <c r="BF117" s="131"/>
      <c r="BG117" s="133"/>
      <c r="BH117" s="131"/>
      <c r="BI117" s="131"/>
      <c r="BJ117" s="131">
        <v>1</v>
      </c>
      <c r="BK117" s="131"/>
      <c r="BL117" s="131">
        <v>1</v>
      </c>
      <c r="BM117" s="131"/>
      <c r="BN117" s="131"/>
      <c r="BO117" s="131">
        <v>1</v>
      </c>
      <c r="BP117" s="131"/>
    </row>
    <row r="118" spans="1:82" s="44" customFormat="1" ht="32.25" customHeight="1" x14ac:dyDescent="0.25">
      <c r="A118" s="46">
        <f>Psychologia!A118</f>
        <v>95</v>
      </c>
      <c r="B118" s="127" t="str">
        <f>IF(Psychologia!B118&gt;0,Psychologia!B118," ")</f>
        <v xml:space="preserve"> </v>
      </c>
      <c r="C118" s="128" t="str">
        <f>IF(Psychologia!C118&gt;0,Psychologia!C118," ")</f>
        <v>2026/2027</v>
      </c>
      <c r="D118" s="128" t="str">
        <f>IF(Psychologia!D118&gt;0,Psychologia!D118," ")</f>
        <v>PZ</v>
      </c>
      <c r="E118" s="127">
        <f>IF(Psychologia!E118&gt;0,Psychologia!E118," ")</f>
        <v>5</v>
      </c>
      <c r="F118" s="32" t="str">
        <f>IF(Psychologia!F118&gt;0,Psychologia!F118," ")</f>
        <v>2030/2031</v>
      </c>
      <c r="G118" s="32" t="str">
        <f>IF(Psychologia!G118&gt;0,Psychologia!G118," ")</f>
        <v>POW</v>
      </c>
      <c r="H118" s="122" t="str">
        <f>IF(Psychologia!H118&gt;0,Psychologia!H118," ")</f>
        <v xml:space="preserve"> </v>
      </c>
      <c r="I118" s="122" t="str">
        <f>IF(Psychologia!I118&gt;0,Psychologia!I118," ")</f>
        <v>Psychologia sportu</v>
      </c>
      <c r="J118" s="372">
        <f>Psychologia!Y118+Psychologia!AV118</f>
        <v>125</v>
      </c>
      <c r="K118" s="373">
        <f>Psychologia!AS118+Psychologia!BP118</f>
        <v>75</v>
      </c>
      <c r="L118" s="374">
        <f>Psychologia!Z118+Psychologia!AW118</f>
        <v>50</v>
      </c>
      <c r="M118" s="375">
        <f>Psychologia!AB118+Psychologia!AD118+Psychologia!AY118+Psychologia!BA118</f>
        <v>10</v>
      </c>
      <c r="N118" s="376">
        <f>Psychologia!AA118+Psychologia!AX118</f>
        <v>50</v>
      </c>
      <c r="O118" s="377">
        <f>Psychologia!X118+Psychologia!AU118</f>
        <v>5</v>
      </c>
      <c r="P118" s="378" t="str">
        <f>IF(Psychologia!V118&gt;0,Psychologia!V118," ")</f>
        <v>zal/o</v>
      </c>
      <c r="Q118" s="389">
        <f t="shared" si="37"/>
        <v>2</v>
      </c>
      <c r="R118" s="390">
        <f t="shared" si="38"/>
        <v>4</v>
      </c>
      <c r="S118" s="394">
        <f t="shared" si="39"/>
        <v>1</v>
      </c>
      <c r="T118" s="132"/>
      <c r="U118" s="131"/>
      <c r="V118" s="131">
        <v>1</v>
      </c>
      <c r="W118" s="131"/>
      <c r="X118" s="131"/>
      <c r="Y118" s="131"/>
      <c r="Z118" s="131"/>
      <c r="AA118" s="131"/>
      <c r="AB118" s="131"/>
      <c r="AC118" s="131">
        <v>1</v>
      </c>
      <c r="AD118" s="131"/>
      <c r="AE118" s="133"/>
      <c r="AF118" s="132"/>
      <c r="AG118" s="131"/>
      <c r="AH118" s="131"/>
      <c r="AI118" s="131"/>
      <c r="AJ118" s="131"/>
      <c r="AK118" s="131"/>
      <c r="AL118" s="131">
        <v>1</v>
      </c>
      <c r="AM118" s="131"/>
      <c r="AN118" s="131">
        <v>1</v>
      </c>
      <c r="AO118" s="131"/>
      <c r="AP118" s="131">
        <v>1</v>
      </c>
      <c r="AQ118" s="131"/>
      <c r="AR118" s="131"/>
      <c r="AS118" s="131">
        <v>1</v>
      </c>
      <c r="AT118" s="131"/>
      <c r="AU118" s="131"/>
      <c r="AV118" s="131"/>
      <c r="AW118" s="131"/>
      <c r="AX118" s="131"/>
      <c r="AY118" s="131"/>
      <c r="AZ118" s="131"/>
      <c r="BA118" s="131"/>
      <c r="BB118" s="131"/>
      <c r="BC118" s="131"/>
      <c r="BD118" s="131"/>
      <c r="BE118" s="131"/>
      <c r="BF118" s="131"/>
      <c r="BG118" s="133"/>
      <c r="BH118" s="131"/>
      <c r="BI118" s="131"/>
      <c r="BJ118" s="131"/>
      <c r="BK118" s="131">
        <v>1</v>
      </c>
      <c r="BL118" s="131"/>
      <c r="BM118" s="131"/>
      <c r="BN118" s="131"/>
      <c r="BO118" s="131"/>
      <c r="BP118" s="131"/>
    </row>
    <row r="119" spans="1:82" s="44" customFormat="1" ht="32.25" customHeight="1" x14ac:dyDescent="0.25">
      <c r="A119" s="46">
        <f>Psychologia!A119</f>
        <v>96</v>
      </c>
      <c r="B119" s="127" t="str">
        <f>IF(Psychologia!B119&gt;0,Psychologia!B119," ")</f>
        <v xml:space="preserve"> </v>
      </c>
      <c r="C119" s="128" t="str">
        <f>IF(Psychologia!C119&gt;0,Psychologia!C119," ")</f>
        <v>2026/2027</v>
      </c>
      <c r="D119" s="128" t="str">
        <f>IF(Psychologia!D119&gt;0,Psychologia!D119," ")</f>
        <v>PZ</v>
      </c>
      <c r="E119" s="127">
        <f>IF(Psychologia!E119&gt;0,Psychologia!E119," ")</f>
        <v>5</v>
      </c>
      <c r="F119" s="32" t="str">
        <f>IF(Psychologia!F119&gt;0,Psychologia!F119," ")</f>
        <v>2030/2031</v>
      </c>
      <c r="G119" s="32" t="str">
        <f>IF(Psychologia!G119&gt;0,Psychologia!G119," ")</f>
        <v>POW</v>
      </c>
      <c r="H119" s="122" t="str">
        <f>IF(Psychologia!H119&gt;0,Psychologia!H119," ")</f>
        <v xml:space="preserve"> </v>
      </c>
      <c r="I119" s="122" t="str">
        <f>IF(Psychologia!I119&gt;0,Psychologia!I119," ")</f>
        <v>Psychoonkologia</v>
      </c>
      <c r="J119" s="372">
        <f>Psychologia!Y119+Psychologia!AV119</f>
        <v>150</v>
      </c>
      <c r="K119" s="373">
        <f>Psychologia!AS119+Psychologia!BP119</f>
        <v>80</v>
      </c>
      <c r="L119" s="374">
        <f>Psychologia!Z119+Psychologia!AW119</f>
        <v>70</v>
      </c>
      <c r="M119" s="375">
        <f>Psychologia!AB119+Psychologia!AD119+Psychologia!AY119+Psychologia!BA119</f>
        <v>10</v>
      </c>
      <c r="N119" s="376">
        <f>Psychologia!AA119+Psychologia!AX119</f>
        <v>70</v>
      </c>
      <c r="O119" s="377">
        <f>Psychologia!X119+Psychologia!AU119</f>
        <v>6</v>
      </c>
      <c r="P119" s="378" t="str">
        <f>IF(Psychologia!V119&gt;0,Psychologia!V119," ")</f>
        <v>egz</v>
      </c>
      <c r="Q119" s="389">
        <f t="shared" si="37"/>
        <v>2</v>
      </c>
      <c r="R119" s="390">
        <f t="shared" si="38"/>
        <v>6</v>
      </c>
      <c r="S119" s="394">
        <f t="shared" si="39"/>
        <v>4</v>
      </c>
      <c r="T119" s="132"/>
      <c r="U119" s="131"/>
      <c r="V119" s="131">
        <v>1</v>
      </c>
      <c r="W119" s="131"/>
      <c r="X119" s="131"/>
      <c r="Y119" s="131"/>
      <c r="Z119" s="131"/>
      <c r="AA119" s="131"/>
      <c r="AB119" s="131">
        <v>1</v>
      </c>
      <c r="AC119" s="131"/>
      <c r="AD119" s="131"/>
      <c r="AE119" s="133"/>
      <c r="AF119" s="132"/>
      <c r="AG119" s="131"/>
      <c r="AH119" s="131"/>
      <c r="AI119" s="131"/>
      <c r="AJ119" s="131">
        <v>1</v>
      </c>
      <c r="AK119" s="131">
        <v>1</v>
      </c>
      <c r="AL119" s="131">
        <v>1</v>
      </c>
      <c r="AM119" s="131"/>
      <c r="AN119" s="131"/>
      <c r="AO119" s="131"/>
      <c r="AP119" s="131"/>
      <c r="AQ119" s="131"/>
      <c r="AR119" s="131"/>
      <c r="AS119" s="131"/>
      <c r="AT119" s="131"/>
      <c r="AU119" s="131"/>
      <c r="AV119" s="131"/>
      <c r="AW119" s="131"/>
      <c r="AX119" s="131"/>
      <c r="AY119" s="131"/>
      <c r="AZ119" s="131">
        <v>1</v>
      </c>
      <c r="BA119" s="131">
        <v>1</v>
      </c>
      <c r="BB119" s="131"/>
      <c r="BC119" s="131">
        <v>1</v>
      </c>
      <c r="BD119" s="131"/>
      <c r="BE119" s="131"/>
      <c r="BF119" s="131"/>
      <c r="BG119" s="133"/>
      <c r="BH119" s="131"/>
      <c r="BI119" s="131">
        <v>1</v>
      </c>
      <c r="BJ119" s="131">
        <v>1</v>
      </c>
      <c r="BK119" s="131"/>
      <c r="BL119" s="131">
        <v>1</v>
      </c>
      <c r="BM119" s="131"/>
      <c r="BN119" s="131"/>
      <c r="BO119" s="131">
        <v>1</v>
      </c>
      <c r="BP119" s="131"/>
    </row>
    <row r="120" spans="1:82" s="44" customFormat="1" ht="32.25" customHeight="1" x14ac:dyDescent="0.25">
      <c r="A120" s="46">
        <f>Psychologia!A120</f>
        <v>97</v>
      </c>
      <c r="B120" s="127" t="str">
        <f>IF(Psychologia!B120&gt;0,Psychologia!B120," ")</f>
        <v xml:space="preserve"> </v>
      </c>
      <c r="C120" s="128" t="str">
        <f>IF(Psychologia!C120&gt;0,Psychologia!C120," ")</f>
        <v>2026/2027</v>
      </c>
      <c r="D120" s="128" t="str">
        <f>IF(Psychologia!D120&gt;0,Psychologia!D120," ")</f>
        <v>PZ</v>
      </c>
      <c r="E120" s="127">
        <f>IF(Psychologia!E120&gt;0,Psychologia!E120," ")</f>
        <v>5</v>
      </c>
      <c r="F120" s="32" t="str">
        <f>IF(Psychologia!F120&gt;0,Psychologia!F120," ")</f>
        <v>2030/2031</v>
      </c>
      <c r="G120" s="32" t="str">
        <f>IF(Psychologia!G120&gt;0,Psychologia!G120," ")</f>
        <v>POW</v>
      </c>
      <c r="H120" s="122" t="str">
        <f>IF(Psychologia!H120&gt;0,Psychologia!H120," ")</f>
        <v xml:space="preserve"> </v>
      </c>
      <c r="I120" s="122" t="str">
        <f>IF(Psychologia!I120&gt;0,Psychologia!I120," ")</f>
        <v>Psychoseksuologia</v>
      </c>
      <c r="J120" s="372">
        <f>Psychologia!Y120+Psychologia!AV120</f>
        <v>150</v>
      </c>
      <c r="K120" s="373">
        <f>Psychologia!AS120+Psychologia!BP120</f>
        <v>80</v>
      </c>
      <c r="L120" s="374">
        <f>Psychologia!Z120+Psychologia!AW120</f>
        <v>70</v>
      </c>
      <c r="M120" s="375">
        <f>Psychologia!AB120+Psychologia!AD120+Psychologia!AY120+Psychologia!BA120</f>
        <v>10</v>
      </c>
      <c r="N120" s="376">
        <f>Psychologia!AA120+Psychologia!AX120</f>
        <v>70</v>
      </c>
      <c r="O120" s="377">
        <f>Psychologia!X120+Psychologia!AU120</f>
        <v>6</v>
      </c>
      <c r="P120" s="378" t="str">
        <f>IF(Psychologia!V120&gt;0,Psychologia!V120," ")</f>
        <v>egz</v>
      </c>
      <c r="Q120" s="389">
        <f t="shared" si="37"/>
        <v>4</v>
      </c>
      <c r="R120" s="390">
        <f t="shared" si="38"/>
        <v>7</v>
      </c>
      <c r="S120" s="394">
        <f t="shared" si="39"/>
        <v>2</v>
      </c>
      <c r="T120" s="132">
        <v>1</v>
      </c>
      <c r="U120" s="131"/>
      <c r="V120" s="131"/>
      <c r="W120" s="131"/>
      <c r="X120" s="131">
        <v>1</v>
      </c>
      <c r="Y120" s="131"/>
      <c r="Z120" s="131"/>
      <c r="AA120" s="131"/>
      <c r="AB120" s="131">
        <v>1</v>
      </c>
      <c r="AC120" s="131">
        <v>1</v>
      </c>
      <c r="AD120" s="131"/>
      <c r="AE120" s="133"/>
      <c r="AF120" s="132">
        <v>1</v>
      </c>
      <c r="AG120" s="131"/>
      <c r="AH120" s="131"/>
      <c r="AI120" s="131">
        <v>1</v>
      </c>
      <c r="AJ120" s="131">
        <v>1</v>
      </c>
      <c r="AK120" s="131"/>
      <c r="AL120" s="131"/>
      <c r="AM120" s="131"/>
      <c r="AN120" s="131">
        <v>1</v>
      </c>
      <c r="AO120" s="131"/>
      <c r="AP120" s="46"/>
      <c r="AQ120" s="131"/>
      <c r="AR120" s="131"/>
      <c r="AS120" s="131"/>
      <c r="AT120" s="131"/>
      <c r="AU120" s="131"/>
      <c r="AV120" s="131"/>
      <c r="AW120" s="131"/>
      <c r="AX120" s="131"/>
      <c r="AY120" s="131"/>
      <c r="AZ120" s="131">
        <v>1</v>
      </c>
      <c r="BA120" s="131">
        <v>1</v>
      </c>
      <c r="BB120" s="131"/>
      <c r="BC120" s="131"/>
      <c r="BD120" s="131"/>
      <c r="BE120" s="131"/>
      <c r="BF120" s="131"/>
      <c r="BG120" s="133">
        <v>1</v>
      </c>
      <c r="BH120" s="131"/>
      <c r="BI120" s="131">
        <v>1</v>
      </c>
      <c r="BJ120" s="131"/>
      <c r="BK120" s="131"/>
      <c r="BL120" s="131"/>
      <c r="BM120" s="131"/>
      <c r="BN120" s="131"/>
      <c r="BO120" s="131">
        <v>1</v>
      </c>
      <c r="BP120" s="131"/>
    </row>
    <row r="121" spans="1:82" s="44" customFormat="1" ht="32.25" customHeight="1" x14ac:dyDescent="0.25">
      <c r="A121" s="46">
        <f>Psychologia!A121</f>
        <v>98</v>
      </c>
      <c r="B121" s="127" t="str">
        <f>IF(Psychologia!B121&gt;0,Psychologia!B121," ")</f>
        <v xml:space="preserve"> </v>
      </c>
      <c r="C121" s="128" t="str">
        <f>IF(Psychologia!C121&gt;0,Psychologia!C121," ")</f>
        <v>2026/2027</v>
      </c>
      <c r="D121" s="128" t="str">
        <f>IF(Psychologia!D121&gt;0,Psychologia!D121," ")</f>
        <v>PZ</v>
      </c>
      <c r="E121" s="127">
        <f>IF(Psychologia!E121&gt;0,Psychologia!E121," ")</f>
        <v>5</v>
      </c>
      <c r="F121" s="32" t="str">
        <f>IF(Psychologia!F121&gt;0,Psychologia!F121," ")</f>
        <v>2030/2031</v>
      </c>
      <c r="G121" s="32" t="str">
        <f>IF(Psychologia!G121&gt;0,Psychologia!G121," ")</f>
        <v>POW</v>
      </c>
      <c r="H121" s="122" t="str">
        <f>IF(Psychologia!H121&gt;0,Psychologia!H121," ")</f>
        <v xml:space="preserve"> </v>
      </c>
      <c r="I121" s="122" t="str">
        <f>IF(Psychologia!I121&gt;0,Psychologia!I121," ")</f>
        <v>Zdrowie publiczne w praktyce psychologa</v>
      </c>
      <c r="J121" s="372">
        <f>Psychologia!Y121+Psychologia!AV121</f>
        <v>150</v>
      </c>
      <c r="K121" s="373">
        <f>Psychologia!AS121+Psychologia!BP121</f>
        <v>75</v>
      </c>
      <c r="L121" s="374">
        <f>Psychologia!Z121+Psychologia!AW121</f>
        <v>75</v>
      </c>
      <c r="M121" s="375">
        <f>Psychologia!AB121+Psychologia!AD121+Psychologia!AY121+Psychologia!BA121</f>
        <v>15</v>
      </c>
      <c r="N121" s="376">
        <f>Psychologia!AA121+Psychologia!AX121</f>
        <v>75</v>
      </c>
      <c r="O121" s="377">
        <f>Psychologia!X121+Psychologia!AU121</f>
        <v>6</v>
      </c>
      <c r="P121" s="378" t="str">
        <f>IF(Psychologia!V121&gt;0,Psychologia!V121," ")</f>
        <v>egz</v>
      </c>
      <c r="Q121" s="389">
        <f t="shared" si="37"/>
        <v>2</v>
      </c>
      <c r="R121" s="390">
        <f t="shared" si="38"/>
        <v>3</v>
      </c>
      <c r="S121" s="394">
        <f t="shared" si="39"/>
        <v>4</v>
      </c>
      <c r="T121" s="132"/>
      <c r="U121" s="131"/>
      <c r="V121" s="131"/>
      <c r="W121" s="131"/>
      <c r="X121" s="131"/>
      <c r="Y121" s="131">
        <v>1</v>
      </c>
      <c r="Z121" s="131"/>
      <c r="AA121" s="131"/>
      <c r="AB121" s="131"/>
      <c r="AC121" s="131"/>
      <c r="AD121" s="131"/>
      <c r="AE121" s="133">
        <v>1</v>
      </c>
      <c r="AF121" s="132"/>
      <c r="AG121" s="131"/>
      <c r="AH121" s="131"/>
      <c r="AI121" s="131"/>
      <c r="AJ121" s="131"/>
      <c r="AK121" s="131"/>
      <c r="AL121" s="131"/>
      <c r="AM121" s="131"/>
      <c r="AN121" s="131"/>
      <c r="AO121" s="131"/>
      <c r="AP121" s="131">
        <v>1</v>
      </c>
      <c r="AQ121" s="131"/>
      <c r="AR121" s="131"/>
      <c r="AS121" s="131"/>
      <c r="AT121" s="131"/>
      <c r="AU121" s="131">
        <v>1</v>
      </c>
      <c r="AV121" s="131"/>
      <c r="AW121" s="131"/>
      <c r="AX121" s="131"/>
      <c r="AY121" s="131"/>
      <c r="AZ121" s="131"/>
      <c r="BA121" s="131"/>
      <c r="BB121" s="131"/>
      <c r="BC121" s="131">
        <v>1</v>
      </c>
      <c r="BD121" s="131"/>
      <c r="BE121" s="131"/>
      <c r="BF121" s="131"/>
      <c r="BG121" s="133"/>
      <c r="BH121" s="131"/>
      <c r="BI121" s="131"/>
      <c r="BJ121" s="131"/>
      <c r="BK121" s="131"/>
      <c r="BL121" s="131"/>
      <c r="BM121" s="131">
        <v>1</v>
      </c>
      <c r="BN121" s="131">
        <v>1</v>
      </c>
      <c r="BO121" s="131">
        <v>1</v>
      </c>
      <c r="BP121" s="131">
        <v>1</v>
      </c>
    </row>
    <row r="122" spans="1:82" s="44" customFormat="1" ht="30" customHeight="1" thickBot="1" x14ac:dyDescent="0.3">
      <c r="A122" s="398"/>
      <c r="B122" s="399" t="str">
        <f>IF(Psychologia!B122&gt;0,Psychologia!B122," ")</f>
        <v xml:space="preserve"> </v>
      </c>
      <c r="C122" s="400" t="str">
        <f>IF(Psychologia!C122&gt;0,Psychologia!C122," ")</f>
        <v xml:space="preserve"> </v>
      </c>
      <c r="D122" s="400" t="str">
        <f>IF(Psychologia!D122&gt;0,Psychologia!D122," ")</f>
        <v xml:space="preserve"> </v>
      </c>
      <c r="E122" s="399" t="str">
        <f>IF(Psychologia!E122&gt;0,Psychologia!E122," ")</f>
        <v xml:space="preserve"> </v>
      </c>
      <c r="F122" s="400" t="str">
        <f>IF(Psychologia!F122&gt;0,Psychologia!F122," ")</f>
        <v xml:space="preserve"> </v>
      </c>
      <c r="G122" s="400" t="str">
        <f>IF(Psychologia!G122&gt;0,Psychologia!G122," ")</f>
        <v xml:space="preserve"> </v>
      </c>
      <c r="H122" s="401" t="str">
        <f>IF(Psychologia!H122&gt;0,Psychologia!H122," ")</f>
        <v xml:space="preserve"> </v>
      </c>
      <c r="I122" s="402" t="str">
        <f>IF(Psychologia!I122&gt;0,Psychologia!I122," ")</f>
        <v>sumy dla 5 roku</v>
      </c>
      <c r="J122" s="395">
        <f>Psychologia!M122</f>
        <v>2325</v>
      </c>
      <c r="K122" s="396">
        <f>Psychologia!N122</f>
        <v>1315</v>
      </c>
      <c r="L122" s="396">
        <f>Psychologia!O122</f>
        <v>1010</v>
      </c>
      <c r="M122" s="396">
        <f>SUM(M105:M121)</f>
        <v>235</v>
      </c>
      <c r="N122" s="396">
        <f>Psychologia!P122</f>
        <v>1010</v>
      </c>
      <c r="O122" s="396">
        <f>Psychologia!Q122</f>
        <v>93</v>
      </c>
      <c r="P122" s="396"/>
      <c r="Q122" s="397">
        <f>SUM(Q105:Q121)</f>
        <v>49</v>
      </c>
      <c r="R122" s="397">
        <f t="shared" ref="R122:BP122" si="40">SUM(R105:R121)</f>
        <v>95</v>
      </c>
      <c r="S122" s="614">
        <f t="shared" si="40"/>
        <v>32</v>
      </c>
      <c r="T122" s="398">
        <f t="shared" si="40"/>
        <v>2</v>
      </c>
      <c r="U122" s="397">
        <f t="shared" si="40"/>
        <v>4</v>
      </c>
      <c r="V122" s="397">
        <f t="shared" si="40"/>
        <v>9</v>
      </c>
      <c r="W122" s="397">
        <f t="shared" si="40"/>
        <v>2</v>
      </c>
      <c r="X122" s="397">
        <f t="shared" si="40"/>
        <v>7</v>
      </c>
      <c r="Y122" s="397">
        <f t="shared" si="40"/>
        <v>2</v>
      </c>
      <c r="Z122" s="397">
        <f t="shared" si="40"/>
        <v>2</v>
      </c>
      <c r="AA122" s="397">
        <f t="shared" si="40"/>
        <v>0</v>
      </c>
      <c r="AB122" s="397">
        <f t="shared" si="40"/>
        <v>8</v>
      </c>
      <c r="AC122" s="397">
        <f t="shared" si="40"/>
        <v>10</v>
      </c>
      <c r="AD122" s="397">
        <f t="shared" si="40"/>
        <v>1</v>
      </c>
      <c r="AE122" s="620">
        <f t="shared" si="40"/>
        <v>2</v>
      </c>
      <c r="AF122" s="398">
        <f t="shared" si="40"/>
        <v>3</v>
      </c>
      <c r="AG122" s="397">
        <f t="shared" si="40"/>
        <v>0</v>
      </c>
      <c r="AH122" s="397">
        <f t="shared" si="40"/>
        <v>2</v>
      </c>
      <c r="AI122" s="397">
        <f t="shared" si="40"/>
        <v>4</v>
      </c>
      <c r="AJ122" s="397">
        <f t="shared" si="40"/>
        <v>11</v>
      </c>
      <c r="AK122" s="397">
        <f t="shared" si="40"/>
        <v>9</v>
      </c>
      <c r="AL122" s="397">
        <f t="shared" si="40"/>
        <v>8</v>
      </c>
      <c r="AM122" s="397">
        <f t="shared" si="40"/>
        <v>2</v>
      </c>
      <c r="AN122" s="397">
        <f t="shared" si="40"/>
        <v>8</v>
      </c>
      <c r="AO122" s="397">
        <f t="shared" si="40"/>
        <v>2</v>
      </c>
      <c r="AP122" s="397">
        <f t="shared" si="40"/>
        <v>5</v>
      </c>
      <c r="AQ122" s="397">
        <f t="shared" si="40"/>
        <v>0</v>
      </c>
      <c r="AR122" s="397">
        <f t="shared" si="40"/>
        <v>3</v>
      </c>
      <c r="AS122" s="397">
        <f t="shared" si="40"/>
        <v>2</v>
      </c>
      <c r="AT122" s="397">
        <f t="shared" si="40"/>
        <v>0</v>
      </c>
      <c r="AU122" s="397">
        <f t="shared" si="40"/>
        <v>3</v>
      </c>
      <c r="AV122" s="397">
        <f t="shared" si="40"/>
        <v>2</v>
      </c>
      <c r="AW122" s="397">
        <f t="shared" si="40"/>
        <v>2</v>
      </c>
      <c r="AX122" s="397">
        <f t="shared" si="40"/>
        <v>4</v>
      </c>
      <c r="AY122" s="397">
        <f t="shared" si="40"/>
        <v>0</v>
      </c>
      <c r="AZ122" s="397">
        <f t="shared" si="40"/>
        <v>5</v>
      </c>
      <c r="BA122" s="397">
        <f t="shared" si="40"/>
        <v>4</v>
      </c>
      <c r="BB122" s="397">
        <f t="shared" si="40"/>
        <v>2</v>
      </c>
      <c r="BC122" s="397">
        <f t="shared" si="40"/>
        <v>2</v>
      </c>
      <c r="BD122" s="397">
        <f t="shared" ref="BD122:BF122" si="41">SUM(BD105:BD121)</f>
        <v>3</v>
      </c>
      <c r="BE122" s="397">
        <f t="shared" si="41"/>
        <v>2</v>
      </c>
      <c r="BF122" s="397">
        <f t="shared" si="41"/>
        <v>0</v>
      </c>
      <c r="BG122" s="620">
        <f t="shared" si="40"/>
        <v>7</v>
      </c>
      <c r="BH122" s="397">
        <f t="shared" si="40"/>
        <v>2</v>
      </c>
      <c r="BI122" s="397">
        <f t="shared" si="40"/>
        <v>7</v>
      </c>
      <c r="BJ122" s="397">
        <f t="shared" si="40"/>
        <v>7</v>
      </c>
      <c r="BK122" s="397">
        <f t="shared" si="40"/>
        <v>2</v>
      </c>
      <c r="BL122" s="397">
        <f t="shared" si="40"/>
        <v>3</v>
      </c>
      <c r="BM122" s="397">
        <f t="shared" si="40"/>
        <v>1</v>
      </c>
      <c r="BN122" s="397">
        <f t="shared" si="40"/>
        <v>2</v>
      </c>
      <c r="BO122" s="397">
        <f t="shared" si="40"/>
        <v>5</v>
      </c>
      <c r="BP122" s="620">
        <f t="shared" si="40"/>
        <v>3</v>
      </c>
    </row>
    <row r="123" spans="1:82" s="21" customFormat="1" ht="21.75" customHeight="1" thickBot="1" x14ac:dyDescent="0.3">
      <c r="A123" s="137"/>
      <c r="B123" s="138"/>
      <c r="C123" s="138"/>
      <c r="D123" s="138"/>
      <c r="E123" s="138"/>
      <c r="F123" s="138"/>
      <c r="G123" s="138"/>
      <c r="H123" s="139"/>
      <c r="I123" s="157" t="s">
        <v>21</v>
      </c>
      <c r="J123" s="143">
        <f t="shared" ref="J123:S123" si="42">SUM(J20:J40,J43:J60,J62:J79,J81:J103,J105:J121)</f>
        <v>9023</v>
      </c>
      <c r="K123" s="143">
        <f t="shared" si="42"/>
        <v>3665</v>
      </c>
      <c r="L123" s="143">
        <f t="shared" si="42"/>
        <v>5358</v>
      </c>
      <c r="M123" s="143">
        <f t="shared" si="42"/>
        <v>1165</v>
      </c>
      <c r="N123" s="143">
        <f t="shared" si="42"/>
        <v>5358</v>
      </c>
      <c r="O123" s="143" t="e">
        <f t="shared" si="42"/>
        <v>#REF!</v>
      </c>
      <c r="P123" s="143">
        <f t="shared" si="42"/>
        <v>0</v>
      </c>
      <c r="Q123" s="143">
        <f t="shared" si="42"/>
        <v>153</v>
      </c>
      <c r="R123" s="143">
        <f t="shared" si="42"/>
        <v>363</v>
      </c>
      <c r="S123" s="143">
        <f t="shared" si="42"/>
        <v>149</v>
      </c>
      <c r="T123" s="143">
        <f t="shared" ref="T123:AY123" si="43">SUM(T20:T41,T43:T60,T62:T79,T81:T103,T105:T121)</f>
        <v>17</v>
      </c>
      <c r="U123" s="143">
        <f t="shared" si="43"/>
        <v>13</v>
      </c>
      <c r="V123" s="143">
        <f t="shared" si="43"/>
        <v>15</v>
      </c>
      <c r="W123" s="143">
        <f t="shared" si="43"/>
        <v>11</v>
      </c>
      <c r="X123" s="143">
        <f t="shared" si="43"/>
        <v>16</v>
      </c>
      <c r="Y123" s="143">
        <f t="shared" si="43"/>
        <v>9</v>
      </c>
      <c r="Z123" s="143">
        <f t="shared" si="43"/>
        <v>13</v>
      </c>
      <c r="AA123" s="143">
        <f t="shared" si="43"/>
        <v>18</v>
      </c>
      <c r="AB123" s="143">
        <f t="shared" si="43"/>
        <v>15</v>
      </c>
      <c r="AC123" s="143">
        <f t="shared" si="43"/>
        <v>14</v>
      </c>
      <c r="AD123" s="143">
        <f t="shared" si="43"/>
        <v>7</v>
      </c>
      <c r="AE123" s="143">
        <f t="shared" si="43"/>
        <v>5</v>
      </c>
      <c r="AF123" s="143">
        <f t="shared" si="43"/>
        <v>13</v>
      </c>
      <c r="AG123" s="143">
        <f t="shared" si="43"/>
        <v>12</v>
      </c>
      <c r="AH123" s="143">
        <f t="shared" si="43"/>
        <v>19</v>
      </c>
      <c r="AI123" s="143">
        <f t="shared" si="43"/>
        <v>15</v>
      </c>
      <c r="AJ123" s="143">
        <f t="shared" si="43"/>
        <v>19</v>
      </c>
      <c r="AK123" s="143">
        <f t="shared" si="43"/>
        <v>17</v>
      </c>
      <c r="AL123" s="143">
        <f t="shared" si="43"/>
        <v>17</v>
      </c>
      <c r="AM123" s="143">
        <f t="shared" si="43"/>
        <v>15</v>
      </c>
      <c r="AN123" s="143">
        <f t="shared" si="43"/>
        <v>19</v>
      </c>
      <c r="AO123" s="143">
        <f t="shared" si="43"/>
        <v>14</v>
      </c>
      <c r="AP123" s="143">
        <f t="shared" si="43"/>
        <v>16</v>
      </c>
      <c r="AQ123" s="143">
        <f t="shared" si="43"/>
        <v>4</v>
      </c>
      <c r="AR123" s="143">
        <f t="shared" si="43"/>
        <v>12</v>
      </c>
      <c r="AS123" s="143">
        <f t="shared" si="43"/>
        <v>12</v>
      </c>
      <c r="AT123" s="143">
        <f t="shared" si="43"/>
        <v>11</v>
      </c>
      <c r="AU123" s="143">
        <f t="shared" si="43"/>
        <v>9</v>
      </c>
      <c r="AV123" s="143">
        <f t="shared" si="43"/>
        <v>7</v>
      </c>
      <c r="AW123" s="143">
        <f t="shared" si="43"/>
        <v>16</v>
      </c>
      <c r="AX123" s="143">
        <f t="shared" si="43"/>
        <v>10</v>
      </c>
      <c r="AY123" s="143">
        <f t="shared" si="43"/>
        <v>10</v>
      </c>
      <c r="AZ123" s="143">
        <f t="shared" ref="AZ123:BP123" si="44">SUM(AZ20:AZ41,AZ43:AZ60,AZ62:AZ79,AZ81:AZ103,AZ105:AZ121)</f>
        <v>16</v>
      </c>
      <c r="BA123" s="143">
        <f t="shared" si="44"/>
        <v>16</v>
      </c>
      <c r="BB123" s="143">
        <f t="shared" si="44"/>
        <v>12</v>
      </c>
      <c r="BC123" s="143">
        <f t="shared" si="44"/>
        <v>9</v>
      </c>
      <c r="BD123" s="143">
        <f t="shared" si="44"/>
        <v>8</v>
      </c>
      <c r="BE123" s="143">
        <f t="shared" si="44"/>
        <v>8</v>
      </c>
      <c r="BF123" s="143">
        <f t="shared" si="44"/>
        <v>13</v>
      </c>
      <c r="BG123" s="143">
        <f t="shared" si="44"/>
        <v>15</v>
      </c>
      <c r="BH123" s="143">
        <f t="shared" si="44"/>
        <v>34</v>
      </c>
      <c r="BI123" s="143">
        <f t="shared" si="44"/>
        <v>21</v>
      </c>
      <c r="BJ123" s="143">
        <f t="shared" si="44"/>
        <v>17</v>
      </c>
      <c r="BK123" s="143">
        <f t="shared" si="44"/>
        <v>13</v>
      </c>
      <c r="BL123" s="143">
        <f t="shared" si="44"/>
        <v>19</v>
      </c>
      <c r="BM123" s="143">
        <f t="shared" si="44"/>
        <v>12</v>
      </c>
      <c r="BN123" s="143">
        <f t="shared" si="44"/>
        <v>12</v>
      </c>
      <c r="BO123" s="143">
        <f t="shared" si="44"/>
        <v>9</v>
      </c>
      <c r="BP123" s="143">
        <f t="shared" si="44"/>
        <v>12</v>
      </c>
    </row>
    <row r="124" spans="1:82" ht="15.75" x14ac:dyDescent="0.25">
      <c r="I124" s="91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CD124" s="609" t="s">
        <v>635</v>
      </c>
    </row>
    <row r="125" spans="1:82" ht="15.75" x14ac:dyDescent="0.25">
      <c r="I125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CD125" s="610" t="s">
        <v>664</v>
      </c>
    </row>
    <row r="126" spans="1:82" x14ac:dyDescent="0.25">
      <c r="I126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</row>
    <row r="127" spans="1:82" x14ac:dyDescent="0.25"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</row>
    <row r="128" spans="1:82" x14ac:dyDescent="0.25"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</row>
    <row r="129" spans="20:59" x14ac:dyDescent="0.25"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</row>
    <row r="130" spans="20:59" x14ac:dyDescent="0.25"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</row>
    <row r="131" spans="20:59" x14ac:dyDescent="0.25"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</row>
  </sheetData>
  <mergeCells count="27">
    <mergeCell ref="G2:I2"/>
    <mergeCell ref="A16:A18"/>
    <mergeCell ref="B16:B18"/>
    <mergeCell ref="C16:C18"/>
    <mergeCell ref="D16:D18"/>
    <mergeCell ref="E16:E18"/>
    <mergeCell ref="F16:F18"/>
    <mergeCell ref="G16:G18"/>
    <mergeCell ref="H16:H18"/>
    <mergeCell ref="I16:I18"/>
    <mergeCell ref="J16:P16"/>
    <mergeCell ref="Q16:S17"/>
    <mergeCell ref="J17:N17"/>
    <mergeCell ref="O17:O19"/>
    <mergeCell ref="P17:P19"/>
    <mergeCell ref="J18:J19"/>
    <mergeCell ref="K18:K19"/>
    <mergeCell ref="L18:L19"/>
    <mergeCell ref="M18:M19"/>
    <mergeCell ref="N18:N19"/>
    <mergeCell ref="BQ18:CC18"/>
    <mergeCell ref="Q18:Q19"/>
    <mergeCell ref="R18:R19"/>
    <mergeCell ref="S18:S19"/>
    <mergeCell ref="T18:AE18"/>
    <mergeCell ref="AF18:BG18"/>
    <mergeCell ref="BH18:BP18"/>
  </mergeCells>
  <phoneticPr fontId="10" type="noConversion"/>
  <conditionalFormatting sqref="O43:O60 O20:O41">
    <cfRule type="colorScale" priority="830">
      <colorScale>
        <cfvo type="num" val="&quot;*,*&quot;"/>
        <cfvo type="max"/>
        <color rgb="FFFF7128"/>
        <color rgb="FFFFEF9C"/>
      </colorScale>
    </cfRule>
  </conditionalFormatting>
  <conditionalFormatting sqref="O20:O60">
    <cfRule type="containsText" dxfId="60" priority="71" operator="containsText" text=",">
      <formula>NOT(ISERROR(SEARCH(",",O20)))</formula>
    </cfRule>
  </conditionalFormatting>
  <conditionalFormatting sqref="O42">
    <cfRule type="colorScale" priority="72">
      <colorScale>
        <cfvo type="num" val="&quot;*,*&quot;"/>
        <cfvo type="max"/>
        <color rgb="FFFF7128"/>
        <color rgb="FFFFEF9C"/>
      </colorScale>
    </cfRule>
  </conditionalFormatting>
  <conditionalFormatting sqref="O62:O79">
    <cfRule type="containsText" dxfId="59" priority="69" operator="containsText" text=",">
      <formula>NOT(ISERROR(SEARCH(",",O62)))</formula>
    </cfRule>
    <cfRule type="colorScale" priority="70">
      <colorScale>
        <cfvo type="num" val="&quot;*,*&quot;"/>
        <cfvo type="max"/>
        <color rgb="FFFF7128"/>
        <color rgb="FFFFEF9C"/>
      </colorScale>
    </cfRule>
  </conditionalFormatting>
  <conditionalFormatting sqref="O81:O103">
    <cfRule type="containsText" dxfId="58" priority="67" operator="containsText" text=",">
      <formula>NOT(ISERROR(SEARCH(",",O81)))</formula>
    </cfRule>
    <cfRule type="colorScale" priority="68">
      <colorScale>
        <cfvo type="num" val="&quot;*,*&quot;"/>
        <cfvo type="max"/>
        <color rgb="FFFF7128"/>
        <color rgb="FFFFEF9C"/>
      </colorScale>
    </cfRule>
  </conditionalFormatting>
  <conditionalFormatting sqref="O105:O121">
    <cfRule type="containsText" dxfId="57" priority="78" operator="containsText" text=",">
      <formula>NOT(ISERROR(SEARCH(",",O105)))</formula>
    </cfRule>
    <cfRule type="colorScale" priority="79">
      <colorScale>
        <cfvo type="num" val="&quot;*,*&quot;"/>
        <cfvo type="max"/>
        <color rgb="FFFF7128"/>
        <color rgb="FFFFEF9C"/>
      </colorScale>
    </cfRule>
  </conditionalFormatting>
  <conditionalFormatting sqref="T43:AE60 T62:AE79 T81:AE103 T105:AE121 T20:AE41">
    <cfRule type="cellIs" dxfId="56" priority="14" operator="equal">
      <formula>1</formula>
    </cfRule>
  </conditionalFormatting>
  <conditionalFormatting sqref="AF43:BG60 AG92:BG92 AF93:BG97 AF98:AL98 AN98:BG98 AF99:BG103 AF105:BG106 AF107:AO107 AQ107:BG107 AF108:BG108 AF109:AO109 AQ109:BG109 AF110:BG119 AF120:AO120 AQ120:BG120 AF121:BG121 AF20:BG41">
    <cfRule type="cellIs" dxfId="55" priority="12" operator="equal">
      <formula>1</formula>
    </cfRule>
  </conditionalFormatting>
  <conditionalFormatting sqref="AF62:BG79">
    <cfRule type="cellIs" dxfId="54" priority="13" operator="equal">
      <formula>1</formula>
    </cfRule>
  </conditionalFormatting>
  <conditionalFormatting sqref="AF81:BG91">
    <cfRule type="cellIs" dxfId="53" priority="9" operator="equal">
      <formula>1</formula>
    </cfRule>
  </conditionalFormatting>
  <conditionalFormatting sqref="BH43:BP60 BH62:BP79 BH81:BP103 BH20:BP41">
    <cfRule type="cellIs" dxfId="52" priority="2" operator="equal">
      <formula>1</formula>
    </cfRule>
  </conditionalFormatting>
  <conditionalFormatting sqref="BH105:BP121">
    <cfRule type="cellIs" dxfId="51" priority="1" operator="equal">
      <formula>1</formula>
    </cfRule>
  </conditionalFormatting>
  <dataValidations xWindow="1633" yWindow="337" count="3">
    <dataValidation type="custom" allowBlank="1" showInputMessage="1" showErrorMessage="1" errorTitle="Wartość nieprawidłowa" error="Jeśli efekt jest realizowany- proszę wprowadzić cyfrę 1" promptTitle="Wybór efektu" prompt="Jeśli efekt jest realizowany- proszę wprowadzić cyfrę 1" sqref="T107:AO107 T81:BP91 AN98:BP98 T93:BP97 AG92:BP92 T99:BP103 AF110:BF119 T98:AL98 T108:AE121 T105:BP106 T92:AE92 T62:BP79 T43:BP60 AF109:AO109 AF108:BF108 AQ109:BF109 AF120:AO120 AF121:BG121 AQ120:BG120 BG108:BG119 AQ107:BP107 BH108:BP121 T20:BP41" xr:uid="{9F9D0543-08AC-4D7D-B9EC-8874E4C07599}">
      <formula1>1</formula1>
    </dataValidation>
    <dataValidation allowBlank="1" showInputMessage="1" showErrorMessage="1" errorTitle="Wartość nieprawidłowa" error="Proszę wybrać formę zakończenia przedmiotu z listy" promptTitle="Forma zakończenia przedmiotu" prompt="Proszę wybrać formę zakończenia przedmiotu z listy" sqref="P20:P121" xr:uid="{9B8547FC-1DF4-46CA-A4FA-ED4F26A99F77}"/>
    <dataValidation allowBlank="1" showInputMessage="1" showErrorMessage="1" errorTitle="WARTOŚĆ NIEPRAWIDŁOWA" error="Suma ECTS musi być liczbą całkowitą" promptTitle="suma ECTS" prompt="Suma ECTS musi być liczbą całkowitą" sqref="O20:O121" xr:uid="{C63A1ACD-9FD0-4181-9E3C-9286728C8854}"/>
  </dataValidations>
  <pageMargins left="0.7" right="0.7" top="0.75" bottom="0.75" header="0.3" footer="0.3"/>
  <pageSetup paperSize="9" orientation="landscape" horizontalDpi="0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294B4-C3B1-457B-8382-874687ECD099}">
  <sheetPr codeName="Arkusz5"/>
  <dimension ref="A1:DA52"/>
  <sheetViews>
    <sheetView zoomScale="55" zoomScaleNormal="55" workbookViewId="0">
      <pane xSplit="3" ySplit="1" topLeftCell="D20" activePane="bottomRight" state="frozen"/>
      <selection pane="topRight" activeCell="D1" sqref="D1"/>
      <selection pane="bottomLeft" activeCell="A2" sqref="A2"/>
      <selection pane="bottomRight" activeCell="D42" sqref="D42:DA50"/>
    </sheetView>
  </sheetViews>
  <sheetFormatPr defaultColWidth="8.85546875" defaultRowHeight="18.75" zeroHeight="1" x14ac:dyDescent="0.3"/>
  <cols>
    <col min="1" max="1" width="9.85546875" style="1039" customWidth="1"/>
    <col min="3" max="3" width="9.140625" style="2"/>
  </cols>
  <sheetData>
    <row r="1" spans="1:105" ht="271.5" customHeight="1" x14ac:dyDescent="0.25">
      <c r="A1" s="1037" t="s">
        <v>635</v>
      </c>
      <c r="B1" s="1030"/>
      <c r="C1" s="1046"/>
      <c r="D1" s="1040" t="s">
        <v>645</v>
      </c>
      <c r="E1" s="1047" t="s">
        <v>646</v>
      </c>
      <c r="F1" s="1032" t="s">
        <v>522</v>
      </c>
      <c r="G1" s="1047" t="s">
        <v>647</v>
      </c>
      <c r="H1" s="1032" t="s">
        <v>432</v>
      </c>
      <c r="I1" s="1031" t="s">
        <v>667</v>
      </c>
      <c r="J1" s="1048" t="s">
        <v>668</v>
      </c>
      <c r="K1" s="1032" t="s">
        <v>434</v>
      </c>
      <c r="L1" s="1047" t="s">
        <v>649</v>
      </c>
      <c r="M1" s="1032" t="s">
        <v>436</v>
      </c>
      <c r="N1" s="1032" t="s">
        <v>445</v>
      </c>
      <c r="O1" s="1049" t="s">
        <v>650</v>
      </c>
      <c r="P1" s="1049" t="s">
        <v>652</v>
      </c>
      <c r="Q1" s="1032" t="s">
        <v>624</v>
      </c>
      <c r="R1" s="1032" t="s">
        <v>443</v>
      </c>
      <c r="S1" s="1032" t="s">
        <v>438</v>
      </c>
      <c r="T1" s="1032" t="s">
        <v>444</v>
      </c>
      <c r="U1" s="1032" t="s">
        <v>433</v>
      </c>
      <c r="V1" s="1047" t="s">
        <v>651</v>
      </c>
      <c r="W1" s="1031" t="s">
        <v>435</v>
      </c>
      <c r="X1" s="1032" t="s">
        <v>739</v>
      </c>
      <c r="Y1" s="1050" t="s">
        <v>740</v>
      </c>
      <c r="Z1" s="1035" t="s">
        <v>108</v>
      </c>
      <c r="AA1" s="1051" t="s">
        <v>457</v>
      </c>
      <c r="AB1" s="1031" t="s">
        <v>741</v>
      </c>
      <c r="AC1" s="1048" t="s">
        <v>742</v>
      </c>
      <c r="AD1" s="1032" t="s">
        <v>447</v>
      </c>
      <c r="AE1" s="1032" t="s">
        <v>453</v>
      </c>
      <c r="AF1" s="1052" t="s">
        <v>448</v>
      </c>
      <c r="AG1" s="1053" t="s">
        <v>678</v>
      </c>
      <c r="AH1" s="1053" t="s">
        <v>679</v>
      </c>
      <c r="AI1" s="1020" t="s">
        <v>926</v>
      </c>
      <c r="AJ1" s="1020" t="s">
        <v>927</v>
      </c>
      <c r="AK1" s="1031" t="s">
        <v>581</v>
      </c>
      <c r="AL1" s="1054" t="s">
        <v>582</v>
      </c>
      <c r="AM1" s="1032" t="s">
        <v>456</v>
      </c>
      <c r="AN1" s="1032" t="s">
        <v>446</v>
      </c>
      <c r="AO1" s="1031" t="s">
        <v>461</v>
      </c>
      <c r="AP1" s="1032" t="s">
        <v>584</v>
      </c>
      <c r="AQ1" s="1055" t="s">
        <v>585</v>
      </c>
      <c r="AR1" s="1031" t="s">
        <v>449</v>
      </c>
      <c r="AS1" s="1056" t="s">
        <v>109</v>
      </c>
      <c r="AT1" s="1057" t="s">
        <v>460</v>
      </c>
      <c r="AU1" s="1032" t="s">
        <v>462</v>
      </c>
      <c r="AV1" s="1032" t="s">
        <v>454</v>
      </c>
      <c r="AW1" s="1047" t="s">
        <v>680</v>
      </c>
      <c r="AX1" s="1047" t="s">
        <v>681</v>
      </c>
      <c r="AY1" s="1032" t="s">
        <v>524</v>
      </c>
      <c r="AZ1" s="1020" t="s">
        <v>655</v>
      </c>
      <c r="BA1" s="1020" t="s">
        <v>699</v>
      </c>
      <c r="BB1" s="1032" t="s">
        <v>465</v>
      </c>
      <c r="BC1" s="1032" t="s">
        <v>523</v>
      </c>
      <c r="BD1" s="1032" t="s">
        <v>580</v>
      </c>
      <c r="BE1" s="1032" t="s">
        <v>586</v>
      </c>
      <c r="BF1" s="1058" t="s">
        <v>623</v>
      </c>
      <c r="BG1" s="1032" t="s">
        <v>464</v>
      </c>
      <c r="BH1" s="1032" t="s">
        <v>463</v>
      </c>
      <c r="BI1" s="1031" t="s">
        <v>698</v>
      </c>
      <c r="BJ1" s="1059" t="s">
        <v>697</v>
      </c>
      <c r="BK1" s="1060" t="s">
        <v>455</v>
      </c>
      <c r="BL1" s="1061" t="s">
        <v>458</v>
      </c>
      <c r="BM1" s="1032" t="s">
        <v>466</v>
      </c>
      <c r="BN1" s="1032" t="s">
        <v>467</v>
      </c>
      <c r="BO1" s="1020" t="s">
        <v>685</v>
      </c>
      <c r="BP1" s="1020" t="s">
        <v>657</v>
      </c>
      <c r="BQ1" s="1020" t="s">
        <v>686</v>
      </c>
      <c r="BR1" s="1047" t="s">
        <v>682</v>
      </c>
      <c r="BS1" s="1047" t="s">
        <v>683</v>
      </c>
      <c r="BT1" s="1032" t="s">
        <v>666</v>
      </c>
      <c r="BU1" s="1050" t="s">
        <v>669</v>
      </c>
      <c r="BV1" s="1032" t="s">
        <v>475</v>
      </c>
      <c r="BW1" s="1032" t="s">
        <v>474</v>
      </c>
      <c r="BX1" s="1032" t="s">
        <v>626</v>
      </c>
      <c r="BY1" s="1032" t="s">
        <v>625</v>
      </c>
      <c r="BZ1" s="1032" t="s">
        <v>483</v>
      </c>
      <c r="CA1" s="1032" t="s">
        <v>479</v>
      </c>
      <c r="CB1" s="1032" t="s">
        <v>677</v>
      </c>
      <c r="CC1" s="1032" t="s">
        <v>477</v>
      </c>
      <c r="CD1" s="1032" t="s">
        <v>702</v>
      </c>
      <c r="CE1" s="1032" t="s">
        <v>526</v>
      </c>
      <c r="CF1" s="1032" t="s">
        <v>476</v>
      </c>
      <c r="CG1" s="1032" t="s">
        <v>527</v>
      </c>
      <c r="CH1" s="1032" t="s">
        <v>481</v>
      </c>
      <c r="CI1" s="1032" t="s">
        <v>480</v>
      </c>
      <c r="CJ1" s="1062" t="s">
        <v>468</v>
      </c>
      <c r="CK1" s="1058" t="s">
        <v>484</v>
      </c>
      <c r="CL1" s="1020" t="s">
        <v>684</v>
      </c>
      <c r="CM1" s="1058" t="s">
        <v>488</v>
      </c>
      <c r="CN1" s="1032" t="s">
        <v>743</v>
      </c>
      <c r="CO1" s="1050" t="s">
        <v>744</v>
      </c>
      <c r="CP1" s="1033" t="s">
        <v>485</v>
      </c>
      <c r="CQ1" s="1032" t="s">
        <v>533</v>
      </c>
      <c r="CR1" s="1034" t="s">
        <v>530</v>
      </c>
      <c r="CS1" s="1033" t="s">
        <v>587</v>
      </c>
      <c r="CT1" s="1033" t="s">
        <v>486</v>
      </c>
      <c r="CU1" s="1033" t="s">
        <v>490</v>
      </c>
      <c r="CV1" s="1032" t="s">
        <v>701</v>
      </c>
      <c r="CW1" s="1032" t="s">
        <v>489</v>
      </c>
      <c r="CX1" s="1032" t="s">
        <v>525</v>
      </c>
      <c r="CY1" s="1032" t="s">
        <v>487</v>
      </c>
      <c r="CZ1" s="1032" t="s">
        <v>531</v>
      </c>
      <c r="DA1" s="1032" t="s">
        <v>532</v>
      </c>
    </row>
    <row r="2" spans="1:105" s="2" customFormat="1" x14ac:dyDescent="0.25">
      <c r="A2" s="1038">
        <f t="shared" ref="A2:A33" si="0">SUM(D2:Y2,AA2:AR2,AT2:BK2,BM2:CI2,CK2:DA2)</f>
        <v>17</v>
      </c>
      <c r="B2" s="1367" t="s">
        <v>124</v>
      </c>
      <c r="C2" s="1036" t="s">
        <v>139</v>
      </c>
      <c r="D2" s="131"/>
      <c r="E2" s="131"/>
      <c r="F2" s="131">
        <v>1</v>
      </c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>
        <v>1</v>
      </c>
      <c r="R2" s="131">
        <v>1</v>
      </c>
      <c r="S2" s="131"/>
      <c r="T2" s="131"/>
      <c r="U2" s="131"/>
      <c r="V2" s="131">
        <v>1</v>
      </c>
      <c r="W2" s="131">
        <v>1</v>
      </c>
      <c r="X2" s="131"/>
      <c r="Y2" s="131"/>
      <c r="Z2" s="1042">
        <f t="shared" ref="Z2:Z33" si="1">SUM(D2:Y2)</f>
        <v>5</v>
      </c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>
        <v>1</v>
      </c>
      <c r="AL2" s="131">
        <v>1</v>
      </c>
      <c r="AM2" s="131">
        <v>1</v>
      </c>
      <c r="AN2" s="131">
        <v>1</v>
      </c>
      <c r="AO2" s="131"/>
      <c r="AP2" s="131">
        <v>1</v>
      </c>
      <c r="AQ2" s="131">
        <v>1</v>
      </c>
      <c r="AR2" s="131">
        <v>1</v>
      </c>
      <c r="AS2" s="1043">
        <f t="shared" ref="AS2:AS33" si="2">SUM(AA2:AR2)</f>
        <v>7</v>
      </c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>
        <v>1</v>
      </c>
      <c r="BL2" s="1044">
        <f t="shared" ref="BL2:BL33" si="3">SUM(AT2:BK2)</f>
        <v>1</v>
      </c>
      <c r="BM2" s="131"/>
      <c r="BN2" s="131"/>
      <c r="BO2" s="131"/>
      <c r="BP2" s="131"/>
      <c r="BQ2" s="131"/>
      <c r="BR2" s="131"/>
      <c r="BS2" s="131"/>
      <c r="BT2" s="131"/>
      <c r="BU2" s="131"/>
      <c r="BV2" s="131"/>
      <c r="BW2" s="131"/>
      <c r="BX2" s="131"/>
      <c r="BY2" s="131"/>
      <c r="BZ2" s="131"/>
      <c r="CA2" s="131"/>
      <c r="CB2" s="131"/>
      <c r="CC2" s="131"/>
      <c r="CD2" s="131">
        <v>1</v>
      </c>
      <c r="CE2" s="131">
        <v>1</v>
      </c>
      <c r="CF2" s="131"/>
      <c r="CG2" s="131"/>
      <c r="CH2" s="131"/>
      <c r="CI2" s="131"/>
      <c r="CJ2" s="1045">
        <f t="shared" ref="CJ2:CJ33" si="4">SUM(BM2:CI2)</f>
        <v>2</v>
      </c>
      <c r="CK2" s="131"/>
      <c r="CL2" s="131"/>
      <c r="CM2" s="131">
        <v>1</v>
      </c>
      <c r="CN2" s="131"/>
      <c r="CO2" s="131"/>
      <c r="CP2" s="131"/>
      <c r="CQ2" s="131"/>
      <c r="CR2" s="131"/>
      <c r="CS2" s="131"/>
      <c r="CT2" s="131"/>
      <c r="CU2" s="131"/>
      <c r="CV2" s="131"/>
      <c r="CW2" s="131"/>
      <c r="CX2" s="131"/>
      <c r="CY2" s="131"/>
      <c r="CZ2" s="131">
        <v>1</v>
      </c>
      <c r="DA2" s="131"/>
    </row>
    <row r="3" spans="1:105" s="2" customFormat="1" x14ac:dyDescent="0.25">
      <c r="A3" s="1038">
        <f t="shared" si="0"/>
        <v>13</v>
      </c>
      <c r="B3" s="1367"/>
      <c r="C3" s="1036" t="s">
        <v>141</v>
      </c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042">
        <f t="shared" si="1"/>
        <v>0</v>
      </c>
      <c r="AA3" s="131"/>
      <c r="AB3" s="131"/>
      <c r="AC3" s="131"/>
      <c r="AD3" s="131">
        <v>1</v>
      </c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043">
        <f t="shared" si="2"/>
        <v>1</v>
      </c>
      <c r="AT3" s="131">
        <v>1</v>
      </c>
      <c r="AU3" s="131">
        <v>1</v>
      </c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>
        <v>1</v>
      </c>
      <c r="BH3" s="131"/>
      <c r="BI3" s="131"/>
      <c r="BJ3" s="131"/>
      <c r="BK3" s="131"/>
      <c r="BL3" s="1044">
        <f t="shared" si="3"/>
        <v>3</v>
      </c>
      <c r="BM3" s="131"/>
      <c r="BN3" s="131"/>
      <c r="BO3" s="131"/>
      <c r="BP3" s="131"/>
      <c r="BQ3" s="131"/>
      <c r="BR3" s="131"/>
      <c r="BS3" s="131"/>
      <c r="BT3" s="131">
        <v>1</v>
      </c>
      <c r="BU3" s="131">
        <v>1</v>
      </c>
      <c r="BV3" s="131"/>
      <c r="BW3" s="131"/>
      <c r="BX3" s="131">
        <v>1</v>
      </c>
      <c r="BY3" s="131"/>
      <c r="BZ3" s="131"/>
      <c r="CA3" s="131">
        <v>1</v>
      </c>
      <c r="CB3" s="131">
        <v>1</v>
      </c>
      <c r="CC3" s="131"/>
      <c r="CD3" s="131"/>
      <c r="CE3" s="131"/>
      <c r="CF3" s="131"/>
      <c r="CG3" s="131"/>
      <c r="CH3" s="131"/>
      <c r="CI3" s="131"/>
      <c r="CJ3" s="1045">
        <f t="shared" si="4"/>
        <v>5</v>
      </c>
      <c r="CK3" s="131"/>
      <c r="CL3" s="131"/>
      <c r="CM3" s="131"/>
      <c r="CN3" s="131">
        <v>1</v>
      </c>
      <c r="CO3" s="131">
        <v>1</v>
      </c>
      <c r="CP3" s="131"/>
      <c r="CQ3" s="131">
        <v>1</v>
      </c>
      <c r="CR3" s="131">
        <v>1</v>
      </c>
      <c r="CS3" s="131"/>
      <c r="CT3" s="131"/>
      <c r="CU3" s="131"/>
      <c r="CV3" s="131"/>
      <c r="CW3" s="131"/>
      <c r="CX3" s="131"/>
      <c r="CY3" s="131"/>
      <c r="CZ3" s="131"/>
      <c r="DA3" s="131"/>
    </row>
    <row r="4" spans="1:105" s="2" customFormat="1" x14ac:dyDescent="0.25">
      <c r="A4" s="1038">
        <f t="shared" si="0"/>
        <v>15</v>
      </c>
      <c r="B4" s="1367"/>
      <c r="C4" s="1036" t="s">
        <v>143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042">
        <f t="shared" si="1"/>
        <v>0</v>
      </c>
      <c r="AA4" s="131"/>
      <c r="AB4" s="131"/>
      <c r="AC4" s="131"/>
      <c r="AD4" s="131"/>
      <c r="AE4" s="131"/>
      <c r="AF4" s="131">
        <v>1</v>
      </c>
      <c r="AG4" s="131"/>
      <c r="AH4" s="131"/>
      <c r="AI4" s="131"/>
      <c r="AJ4" s="131"/>
      <c r="AK4" s="131"/>
      <c r="AL4" s="131"/>
      <c r="AM4" s="131">
        <v>1</v>
      </c>
      <c r="AN4" s="131"/>
      <c r="AO4" s="131"/>
      <c r="AP4" s="131"/>
      <c r="AQ4" s="131"/>
      <c r="AR4" s="131"/>
      <c r="AS4" s="1043">
        <f t="shared" si="2"/>
        <v>2</v>
      </c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044">
        <f t="shared" si="3"/>
        <v>0</v>
      </c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>
        <v>1</v>
      </c>
      <c r="BZ4" s="131">
        <v>1</v>
      </c>
      <c r="CA4" s="131"/>
      <c r="CB4" s="131"/>
      <c r="CC4" s="131">
        <v>1</v>
      </c>
      <c r="CD4" s="131"/>
      <c r="CE4" s="131"/>
      <c r="CF4" s="131"/>
      <c r="CG4" s="131"/>
      <c r="CH4" s="131"/>
      <c r="CI4" s="131">
        <v>1</v>
      </c>
      <c r="CJ4" s="1045">
        <f t="shared" si="4"/>
        <v>4</v>
      </c>
      <c r="CK4" s="131">
        <v>1</v>
      </c>
      <c r="CL4" s="131"/>
      <c r="CM4" s="131"/>
      <c r="CN4" s="131"/>
      <c r="CO4" s="131"/>
      <c r="CP4" s="131">
        <v>1</v>
      </c>
      <c r="CQ4" s="131"/>
      <c r="CR4" s="131">
        <v>1</v>
      </c>
      <c r="CS4" s="131">
        <v>1</v>
      </c>
      <c r="CT4" s="131">
        <v>1</v>
      </c>
      <c r="CU4" s="131">
        <v>1</v>
      </c>
      <c r="CV4" s="131"/>
      <c r="CW4" s="131">
        <v>1</v>
      </c>
      <c r="CX4" s="131">
        <v>1</v>
      </c>
      <c r="CY4" s="131">
        <v>1</v>
      </c>
      <c r="CZ4" s="131"/>
      <c r="DA4" s="131"/>
    </row>
    <row r="5" spans="1:105" s="2" customFormat="1" x14ac:dyDescent="0.25">
      <c r="A5" s="1038">
        <f t="shared" si="0"/>
        <v>11</v>
      </c>
      <c r="B5" s="1367"/>
      <c r="C5" s="1036" t="s">
        <v>145</v>
      </c>
      <c r="D5" s="131"/>
      <c r="E5" s="131">
        <v>1</v>
      </c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042">
        <f t="shared" si="1"/>
        <v>1</v>
      </c>
      <c r="AA5" s="131"/>
      <c r="AB5" s="131"/>
      <c r="AC5" s="131"/>
      <c r="AD5" s="131">
        <v>1</v>
      </c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>
        <v>1</v>
      </c>
      <c r="AP5" s="131"/>
      <c r="AQ5" s="131"/>
      <c r="AR5" s="131"/>
      <c r="AS5" s="1043">
        <f t="shared" si="2"/>
        <v>2</v>
      </c>
      <c r="AT5" s="131">
        <v>1</v>
      </c>
      <c r="AU5" s="131"/>
      <c r="AV5" s="131"/>
      <c r="AW5" s="131"/>
      <c r="AX5" s="131"/>
      <c r="AY5" s="131">
        <v>1</v>
      </c>
      <c r="AZ5" s="131"/>
      <c r="BA5" s="131"/>
      <c r="BB5" s="131"/>
      <c r="BC5" s="131"/>
      <c r="BD5" s="131"/>
      <c r="BE5" s="131"/>
      <c r="BF5" s="131"/>
      <c r="BG5" s="131"/>
      <c r="BH5" s="131"/>
      <c r="BI5" s="131">
        <v>1</v>
      </c>
      <c r="BJ5" s="131">
        <v>1</v>
      </c>
      <c r="BK5" s="131"/>
      <c r="BL5" s="1044">
        <f t="shared" si="3"/>
        <v>4</v>
      </c>
      <c r="BM5" s="131"/>
      <c r="BN5" s="131"/>
      <c r="BO5" s="131"/>
      <c r="BP5" s="131"/>
      <c r="BQ5" s="131"/>
      <c r="BR5" s="131"/>
      <c r="BS5" s="131"/>
      <c r="BT5" s="131">
        <v>1</v>
      </c>
      <c r="BU5" s="131">
        <v>1</v>
      </c>
      <c r="BV5" s="131"/>
      <c r="BW5" s="131"/>
      <c r="BX5" s="131"/>
      <c r="BY5" s="131"/>
      <c r="BZ5" s="131"/>
      <c r="CA5" s="131"/>
      <c r="CB5" s="131"/>
      <c r="CC5" s="131"/>
      <c r="CD5" s="131"/>
      <c r="CE5" s="131"/>
      <c r="CF5" s="131"/>
      <c r="CG5" s="131"/>
      <c r="CH5" s="131"/>
      <c r="CI5" s="131"/>
      <c r="CJ5" s="1045">
        <f t="shared" si="4"/>
        <v>2</v>
      </c>
      <c r="CK5" s="131"/>
      <c r="CL5" s="131"/>
      <c r="CM5" s="131"/>
      <c r="CN5" s="131">
        <v>1</v>
      </c>
      <c r="CO5" s="131">
        <v>1</v>
      </c>
      <c r="CP5" s="131"/>
      <c r="CQ5" s="131"/>
      <c r="CR5" s="131"/>
      <c r="CS5" s="131"/>
      <c r="CT5" s="131"/>
      <c r="CU5" s="131"/>
      <c r="CV5" s="131"/>
      <c r="CW5" s="131"/>
      <c r="CX5" s="131"/>
      <c r="CY5" s="131"/>
      <c r="CZ5" s="131"/>
      <c r="DA5" s="131"/>
    </row>
    <row r="6" spans="1:105" s="2" customFormat="1" x14ac:dyDescent="0.25">
      <c r="A6" s="1064">
        <f t="shared" si="0"/>
        <v>15</v>
      </c>
      <c r="B6" s="1367"/>
      <c r="C6" s="1036" t="s">
        <v>147</v>
      </c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042">
        <f t="shared" si="1"/>
        <v>0</v>
      </c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>
        <v>1</v>
      </c>
      <c r="AM6" s="131">
        <v>1</v>
      </c>
      <c r="AN6" s="131">
        <v>1</v>
      </c>
      <c r="AO6" s="131"/>
      <c r="AP6" s="131"/>
      <c r="AQ6" s="131">
        <v>1</v>
      </c>
      <c r="AR6" s="131"/>
      <c r="AS6" s="1043">
        <f t="shared" si="2"/>
        <v>4</v>
      </c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>
        <v>1</v>
      </c>
      <c r="BE6" s="131"/>
      <c r="BF6" s="131">
        <v>1</v>
      </c>
      <c r="BG6" s="131"/>
      <c r="BH6" s="131"/>
      <c r="BI6" s="131"/>
      <c r="BJ6" s="131"/>
      <c r="BK6" s="131"/>
      <c r="BL6" s="1044">
        <f t="shared" si="3"/>
        <v>2</v>
      </c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>
        <v>1</v>
      </c>
      <c r="CC6" s="131"/>
      <c r="CD6" s="131">
        <v>1</v>
      </c>
      <c r="CE6" s="131">
        <v>1</v>
      </c>
      <c r="CF6" s="131"/>
      <c r="CG6" s="131"/>
      <c r="CH6" s="131"/>
      <c r="CI6" s="131"/>
      <c r="CJ6" s="1045">
        <f t="shared" si="4"/>
        <v>3</v>
      </c>
      <c r="CK6" s="131">
        <v>1</v>
      </c>
      <c r="CL6" s="131"/>
      <c r="CM6" s="131"/>
      <c r="CN6" s="131"/>
      <c r="CO6" s="131"/>
      <c r="CP6" s="131">
        <v>1</v>
      </c>
      <c r="CQ6" s="131"/>
      <c r="CR6" s="131">
        <v>1</v>
      </c>
      <c r="CS6" s="131">
        <v>1</v>
      </c>
      <c r="CT6" s="131">
        <v>1</v>
      </c>
      <c r="CU6" s="131"/>
      <c r="CV6" s="131"/>
      <c r="CW6" s="131"/>
      <c r="CX6" s="131"/>
      <c r="CY6" s="131"/>
      <c r="CZ6" s="131">
        <v>1</v>
      </c>
      <c r="DA6" s="131"/>
    </row>
    <row r="7" spans="1:105" s="2" customFormat="1" x14ac:dyDescent="0.25">
      <c r="A7" s="1038">
        <f t="shared" si="0"/>
        <v>9</v>
      </c>
      <c r="B7" s="1367"/>
      <c r="C7" s="1036" t="s">
        <v>149</v>
      </c>
      <c r="D7" s="131"/>
      <c r="E7" s="131"/>
      <c r="F7" s="131"/>
      <c r="G7" s="131">
        <v>1</v>
      </c>
      <c r="H7" s="131"/>
      <c r="I7" s="131"/>
      <c r="J7" s="131"/>
      <c r="K7" s="131">
        <v>1</v>
      </c>
      <c r="L7" s="131">
        <v>1</v>
      </c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042">
        <f t="shared" si="1"/>
        <v>3</v>
      </c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043">
        <f t="shared" si="2"/>
        <v>0</v>
      </c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044">
        <f t="shared" si="3"/>
        <v>0</v>
      </c>
      <c r="BM7" s="131"/>
      <c r="BN7" s="131">
        <v>1</v>
      </c>
      <c r="BO7" s="131"/>
      <c r="BP7" s="131"/>
      <c r="BQ7" s="131"/>
      <c r="BR7" s="131"/>
      <c r="BS7" s="131"/>
      <c r="BT7" s="131"/>
      <c r="BU7" s="131"/>
      <c r="BV7" s="131"/>
      <c r="BW7" s="131">
        <v>1</v>
      </c>
      <c r="BX7" s="131">
        <v>1</v>
      </c>
      <c r="BY7" s="131"/>
      <c r="BZ7" s="131"/>
      <c r="CA7" s="131"/>
      <c r="CB7" s="131"/>
      <c r="CC7" s="131"/>
      <c r="CD7" s="131"/>
      <c r="CE7" s="131"/>
      <c r="CF7" s="131">
        <v>1</v>
      </c>
      <c r="CG7" s="131"/>
      <c r="CH7" s="131"/>
      <c r="CI7" s="131"/>
      <c r="CJ7" s="1045">
        <f t="shared" si="4"/>
        <v>4</v>
      </c>
      <c r="CK7" s="131"/>
      <c r="CL7" s="131"/>
      <c r="CM7" s="131">
        <v>1</v>
      </c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>
        <v>1</v>
      </c>
    </row>
    <row r="8" spans="1:105" s="2" customFormat="1" x14ac:dyDescent="0.25">
      <c r="A8" s="1038">
        <f t="shared" si="0"/>
        <v>12</v>
      </c>
      <c r="B8" s="1367"/>
      <c r="C8" s="1036" t="s">
        <v>151</v>
      </c>
      <c r="D8" s="131"/>
      <c r="E8" s="131">
        <v>1</v>
      </c>
      <c r="F8" s="131"/>
      <c r="G8" s="131">
        <v>1</v>
      </c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042">
        <f t="shared" si="1"/>
        <v>2</v>
      </c>
      <c r="AA8" s="131"/>
      <c r="AB8" s="131"/>
      <c r="AC8" s="131"/>
      <c r="AD8" s="131">
        <v>1</v>
      </c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>
        <v>1</v>
      </c>
      <c r="AP8" s="131"/>
      <c r="AQ8" s="131"/>
      <c r="AR8" s="131"/>
      <c r="AS8" s="1043">
        <f t="shared" si="2"/>
        <v>2</v>
      </c>
      <c r="AT8" s="131">
        <v>1</v>
      </c>
      <c r="AU8" s="131"/>
      <c r="AV8" s="131"/>
      <c r="AW8" s="131"/>
      <c r="AX8" s="131"/>
      <c r="AY8" s="131">
        <v>1</v>
      </c>
      <c r="AZ8" s="131"/>
      <c r="BA8" s="131"/>
      <c r="BB8" s="131"/>
      <c r="BC8" s="131"/>
      <c r="BD8" s="131"/>
      <c r="BE8" s="131"/>
      <c r="BF8" s="131"/>
      <c r="BG8" s="131"/>
      <c r="BH8" s="131"/>
      <c r="BI8" s="131">
        <v>1</v>
      </c>
      <c r="BJ8" s="131">
        <v>1</v>
      </c>
      <c r="BK8" s="131"/>
      <c r="BL8" s="1044">
        <f t="shared" si="3"/>
        <v>4</v>
      </c>
      <c r="BM8" s="131"/>
      <c r="BN8" s="131"/>
      <c r="BO8" s="131"/>
      <c r="BP8" s="131"/>
      <c r="BQ8" s="131"/>
      <c r="BR8" s="131"/>
      <c r="BS8" s="131"/>
      <c r="BT8" s="131">
        <v>1</v>
      </c>
      <c r="BU8" s="131">
        <v>1</v>
      </c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045">
        <f t="shared" si="4"/>
        <v>2</v>
      </c>
      <c r="CK8" s="131"/>
      <c r="CL8" s="131"/>
      <c r="CM8" s="131"/>
      <c r="CN8" s="131">
        <v>1</v>
      </c>
      <c r="CO8" s="131">
        <v>1</v>
      </c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</row>
    <row r="9" spans="1:105" s="2" customFormat="1" x14ac:dyDescent="0.25">
      <c r="A9" s="1064">
        <f t="shared" si="0"/>
        <v>18</v>
      </c>
      <c r="B9" s="1367"/>
      <c r="C9" s="1036" t="s">
        <v>153</v>
      </c>
      <c r="D9" s="131">
        <v>1</v>
      </c>
      <c r="E9" s="131"/>
      <c r="F9" s="131"/>
      <c r="G9" s="131">
        <v>1</v>
      </c>
      <c r="H9" s="131"/>
      <c r="I9" s="131"/>
      <c r="J9" s="131"/>
      <c r="K9" s="131">
        <v>1</v>
      </c>
      <c r="L9" s="131">
        <v>1</v>
      </c>
      <c r="M9" s="131"/>
      <c r="N9" s="131"/>
      <c r="O9" s="131"/>
      <c r="P9" s="131"/>
      <c r="Q9" s="131"/>
      <c r="R9" s="131"/>
      <c r="S9" s="131"/>
      <c r="T9" s="131"/>
      <c r="U9" s="131">
        <v>1</v>
      </c>
      <c r="V9" s="131"/>
      <c r="W9" s="131"/>
      <c r="X9" s="131"/>
      <c r="Y9" s="131"/>
      <c r="Z9" s="1042">
        <f t="shared" si="1"/>
        <v>5</v>
      </c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>
        <v>1</v>
      </c>
      <c r="AP9" s="131"/>
      <c r="AQ9" s="131"/>
      <c r="AR9" s="131"/>
      <c r="AS9" s="1043">
        <f t="shared" si="2"/>
        <v>1</v>
      </c>
      <c r="AT9" s="131"/>
      <c r="AU9" s="131">
        <v>1</v>
      </c>
      <c r="AV9" s="131">
        <v>1</v>
      </c>
      <c r="AW9" s="131"/>
      <c r="AX9" s="131"/>
      <c r="AY9" s="131"/>
      <c r="AZ9" s="131"/>
      <c r="BA9" s="131"/>
      <c r="BB9" s="131">
        <v>1</v>
      </c>
      <c r="BC9" s="131">
        <v>1</v>
      </c>
      <c r="BD9" s="131"/>
      <c r="BE9" s="131"/>
      <c r="BF9" s="131"/>
      <c r="BG9" s="131"/>
      <c r="BH9" s="131">
        <v>1</v>
      </c>
      <c r="BI9" s="131"/>
      <c r="BJ9" s="131"/>
      <c r="BK9" s="131">
        <v>1</v>
      </c>
      <c r="BL9" s="1044">
        <f t="shared" si="3"/>
        <v>6</v>
      </c>
      <c r="BM9" s="131">
        <v>1</v>
      </c>
      <c r="BN9" s="131">
        <v>1</v>
      </c>
      <c r="BO9" s="131"/>
      <c r="BP9" s="131"/>
      <c r="BQ9" s="131"/>
      <c r="BR9" s="131"/>
      <c r="BS9" s="131"/>
      <c r="BT9" s="131"/>
      <c r="BU9" s="131"/>
      <c r="BV9" s="131">
        <v>1</v>
      </c>
      <c r="BW9" s="131">
        <v>1</v>
      </c>
      <c r="BX9" s="131"/>
      <c r="BY9" s="131"/>
      <c r="BZ9" s="131"/>
      <c r="CA9" s="131"/>
      <c r="CB9" s="131"/>
      <c r="CC9" s="131"/>
      <c r="CD9" s="131"/>
      <c r="CE9" s="131"/>
      <c r="CF9" s="131">
        <v>1</v>
      </c>
      <c r="CG9" s="131"/>
      <c r="CH9" s="131"/>
      <c r="CI9" s="131">
        <v>1</v>
      </c>
      <c r="CJ9" s="1045">
        <f t="shared" si="4"/>
        <v>6</v>
      </c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</row>
    <row r="10" spans="1:105" s="2" customFormat="1" x14ac:dyDescent="0.25">
      <c r="A10" s="1064">
        <f t="shared" si="0"/>
        <v>15</v>
      </c>
      <c r="B10" s="1367"/>
      <c r="C10" s="1036" t="s">
        <v>155</v>
      </c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042">
        <f t="shared" si="1"/>
        <v>0</v>
      </c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043">
        <f t="shared" si="2"/>
        <v>0</v>
      </c>
      <c r="AT10" s="131"/>
      <c r="AU10" s="131"/>
      <c r="AV10" s="131"/>
      <c r="AW10" s="131"/>
      <c r="AX10" s="131"/>
      <c r="AY10" s="131"/>
      <c r="AZ10" s="131"/>
      <c r="BA10" s="131"/>
      <c r="BB10" s="131">
        <v>1</v>
      </c>
      <c r="BC10" s="131">
        <v>1</v>
      </c>
      <c r="BD10" s="131"/>
      <c r="BE10" s="131"/>
      <c r="BF10" s="131"/>
      <c r="BG10" s="131"/>
      <c r="BH10" s="131">
        <v>1</v>
      </c>
      <c r="BI10" s="131"/>
      <c r="BJ10" s="131"/>
      <c r="BK10" s="131">
        <v>1</v>
      </c>
      <c r="BL10" s="1044">
        <f t="shared" si="3"/>
        <v>4</v>
      </c>
      <c r="BM10" s="131">
        <v>1</v>
      </c>
      <c r="BN10" s="131"/>
      <c r="BO10" s="131"/>
      <c r="BP10" s="131"/>
      <c r="BQ10" s="131"/>
      <c r="BR10" s="131"/>
      <c r="BS10" s="131"/>
      <c r="BT10" s="131"/>
      <c r="BU10" s="131"/>
      <c r="BV10" s="131">
        <v>1</v>
      </c>
      <c r="BW10" s="131"/>
      <c r="BX10" s="131">
        <v>1</v>
      </c>
      <c r="BY10" s="131"/>
      <c r="BZ10" s="131"/>
      <c r="CA10" s="131"/>
      <c r="CB10" s="131"/>
      <c r="CC10" s="131"/>
      <c r="CD10" s="131"/>
      <c r="CE10" s="131"/>
      <c r="CF10" s="131"/>
      <c r="CG10" s="131"/>
      <c r="CH10" s="131"/>
      <c r="CI10" s="131"/>
      <c r="CJ10" s="1045">
        <f t="shared" si="4"/>
        <v>3</v>
      </c>
      <c r="CK10" s="131"/>
      <c r="CL10" s="131"/>
      <c r="CM10" s="131">
        <v>1</v>
      </c>
      <c r="CN10" s="131"/>
      <c r="CO10" s="131"/>
      <c r="CP10" s="131">
        <v>1</v>
      </c>
      <c r="CQ10" s="131">
        <v>1</v>
      </c>
      <c r="CR10" s="131"/>
      <c r="CS10" s="131">
        <v>1</v>
      </c>
      <c r="CT10" s="131">
        <v>1</v>
      </c>
      <c r="CU10" s="131">
        <v>1</v>
      </c>
      <c r="CV10" s="131"/>
      <c r="CW10" s="131"/>
      <c r="CX10" s="131"/>
      <c r="CY10" s="131">
        <v>1</v>
      </c>
      <c r="CZ10" s="131">
        <v>1</v>
      </c>
      <c r="DA10" s="131"/>
    </row>
    <row r="11" spans="1:105" s="2" customFormat="1" x14ac:dyDescent="0.25">
      <c r="A11" s="1064">
        <f t="shared" si="0"/>
        <v>14</v>
      </c>
      <c r="B11" s="1367"/>
      <c r="C11" s="1036" t="s">
        <v>157</v>
      </c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042">
        <f t="shared" si="1"/>
        <v>0</v>
      </c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043">
        <f t="shared" si="2"/>
        <v>0</v>
      </c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044">
        <f t="shared" si="3"/>
        <v>0</v>
      </c>
      <c r="BM11" s="131"/>
      <c r="BN11" s="131"/>
      <c r="BO11" s="131"/>
      <c r="BP11" s="131"/>
      <c r="BQ11" s="131"/>
      <c r="BR11" s="131"/>
      <c r="BS11" s="131"/>
      <c r="BT11" s="131"/>
      <c r="BU11" s="131"/>
      <c r="BV11" s="131"/>
      <c r="BW11" s="131"/>
      <c r="BX11" s="131"/>
      <c r="BY11" s="131"/>
      <c r="BZ11" s="131">
        <v>1</v>
      </c>
      <c r="CA11" s="131">
        <v>1</v>
      </c>
      <c r="CB11" s="131"/>
      <c r="CC11" s="131">
        <v>1</v>
      </c>
      <c r="CD11" s="131"/>
      <c r="CE11" s="131"/>
      <c r="CF11" s="131">
        <v>1</v>
      </c>
      <c r="CG11" s="131"/>
      <c r="CH11" s="131"/>
      <c r="CI11" s="131"/>
      <c r="CJ11" s="1045">
        <f t="shared" si="4"/>
        <v>4</v>
      </c>
      <c r="CK11" s="131"/>
      <c r="CL11" s="131"/>
      <c r="CM11" s="131">
        <v>1</v>
      </c>
      <c r="CN11" s="131"/>
      <c r="CO11" s="131"/>
      <c r="CP11" s="131">
        <v>1</v>
      </c>
      <c r="CQ11" s="131">
        <v>1</v>
      </c>
      <c r="CR11" s="131">
        <v>1</v>
      </c>
      <c r="CS11" s="131">
        <v>1</v>
      </c>
      <c r="CT11" s="131">
        <v>1</v>
      </c>
      <c r="CU11" s="131">
        <v>1</v>
      </c>
      <c r="CV11" s="131"/>
      <c r="CW11" s="131">
        <v>1</v>
      </c>
      <c r="CX11" s="131">
        <v>1</v>
      </c>
      <c r="CY11" s="131"/>
      <c r="CZ11" s="131">
        <v>1</v>
      </c>
      <c r="DA11" s="131"/>
    </row>
    <row r="12" spans="1:105" s="2" customFormat="1" x14ac:dyDescent="0.25">
      <c r="A12" s="1038">
        <f t="shared" si="0"/>
        <v>7</v>
      </c>
      <c r="B12" s="1367"/>
      <c r="C12" s="1036" t="s">
        <v>159</v>
      </c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>
        <v>1</v>
      </c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042">
        <f t="shared" si="1"/>
        <v>1</v>
      </c>
      <c r="AA12" s="131">
        <v>1</v>
      </c>
      <c r="AB12" s="131"/>
      <c r="AC12" s="131"/>
      <c r="AD12" s="131"/>
      <c r="AE12" s="131">
        <v>1</v>
      </c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043">
        <f t="shared" si="2"/>
        <v>2</v>
      </c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>
        <v>1</v>
      </c>
      <c r="BF12" s="131"/>
      <c r="BG12" s="131"/>
      <c r="BH12" s="131"/>
      <c r="BI12" s="131"/>
      <c r="BJ12" s="131"/>
      <c r="BK12" s="131"/>
      <c r="BL12" s="1044">
        <f t="shared" si="3"/>
        <v>1</v>
      </c>
      <c r="BM12" s="131">
        <v>1</v>
      </c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>
        <v>1</v>
      </c>
      <c r="CH12" s="131"/>
      <c r="CI12" s="131"/>
      <c r="CJ12" s="1045">
        <f t="shared" si="4"/>
        <v>2</v>
      </c>
      <c r="CK12" s="131"/>
      <c r="CL12" s="131"/>
      <c r="CM12" s="131"/>
      <c r="CN12" s="131"/>
      <c r="CO12" s="131"/>
      <c r="CP12" s="131"/>
      <c r="CQ12" s="131"/>
      <c r="CR12" s="131"/>
      <c r="CS12" s="131"/>
      <c r="CT12" s="131"/>
      <c r="CU12" s="131"/>
      <c r="CV12" s="131">
        <v>1</v>
      </c>
      <c r="CW12" s="131"/>
      <c r="CX12" s="131"/>
      <c r="CY12" s="131"/>
      <c r="CZ12" s="131"/>
      <c r="DA12" s="131"/>
    </row>
    <row r="13" spans="1:105" s="2" customFormat="1" x14ac:dyDescent="0.25">
      <c r="A13" s="1038">
        <f t="shared" si="0"/>
        <v>5</v>
      </c>
      <c r="B13" s="1367"/>
      <c r="C13" s="1036" t="s">
        <v>161</v>
      </c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042">
        <f t="shared" si="1"/>
        <v>0</v>
      </c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043">
        <f t="shared" si="2"/>
        <v>0</v>
      </c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>
        <v>1</v>
      </c>
      <c r="BF13" s="131"/>
      <c r="BG13" s="131"/>
      <c r="BH13" s="131"/>
      <c r="BI13" s="131"/>
      <c r="BJ13" s="131"/>
      <c r="BK13" s="131"/>
      <c r="BL13" s="1044">
        <f t="shared" si="3"/>
        <v>1</v>
      </c>
      <c r="BM13" s="131">
        <v>1</v>
      </c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1"/>
      <c r="BY13" s="131"/>
      <c r="BZ13" s="131"/>
      <c r="CA13" s="131"/>
      <c r="CB13" s="131"/>
      <c r="CC13" s="131"/>
      <c r="CD13" s="131"/>
      <c r="CE13" s="131"/>
      <c r="CF13" s="131"/>
      <c r="CG13" s="131">
        <v>1</v>
      </c>
      <c r="CH13" s="131"/>
      <c r="CI13" s="131"/>
      <c r="CJ13" s="1045">
        <f t="shared" si="4"/>
        <v>2</v>
      </c>
      <c r="CK13" s="131"/>
      <c r="CL13" s="131"/>
      <c r="CM13" s="131"/>
      <c r="CN13" s="131"/>
      <c r="CO13" s="131"/>
      <c r="CP13" s="131"/>
      <c r="CQ13" s="131"/>
      <c r="CR13" s="131"/>
      <c r="CS13" s="131"/>
      <c r="CT13" s="131"/>
      <c r="CU13" s="131"/>
      <c r="CV13" s="131">
        <v>1</v>
      </c>
      <c r="CW13" s="131"/>
      <c r="CX13" s="131"/>
      <c r="CY13" s="131"/>
      <c r="CZ13" s="131"/>
      <c r="DA13" s="131">
        <v>1</v>
      </c>
    </row>
    <row r="14" spans="1:105" s="2" customFormat="1" x14ac:dyDescent="0.25">
      <c r="A14" s="1038">
        <f t="shared" si="0"/>
        <v>13</v>
      </c>
      <c r="B14" s="1368" t="s">
        <v>414</v>
      </c>
      <c r="C14" s="1066" t="s">
        <v>267</v>
      </c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042">
        <f t="shared" si="1"/>
        <v>0</v>
      </c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043">
        <f t="shared" si="2"/>
        <v>0</v>
      </c>
      <c r="AT14" s="131"/>
      <c r="AU14" s="131">
        <v>1</v>
      </c>
      <c r="AV14" s="131"/>
      <c r="AW14" s="131">
        <v>1</v>
      </c>
      <c r="AX14" s="131">
        <v>1</v>
      </c>
      <c r="AY14" s="131"/>
      <c r="AZ14" s="131"/>
      <c r="BA14" s="131"/>
      <c r="BB14" s="131">
        <v>1</v>
      </c>
      <c r="BC14" s="131">
        <v>1</v>
      </c>
      <c r="BD14" s="131"/>
      <c r="BE14" s="131"/>
      <c r="BF14" s="131"/>
      <c r="BG14" s="131">
        <v>1</v>
      </c>
      <c r="BH14" s="131">
        <v>1</v>
      </c>
      <c r="BI14" s="131"/>
      <c r="BJ14" s="131"/>
      <c r="BK14" s="131">
        <v>1</v>
      </c>
      <c r="BL14" s="1044">
        <f t="shared" si="3"/>
        <v>8</v>
      </c>
      <c r="BM14" s="131">
        <v>1</v>
      </c>
      <c r="BN14" s="131"/>
      <c r="BO14" s="131"/>
      <c r="BP14" s="131"/>
      <c r="BQ14" s="131"/>
      <c r="BR14" s="131"/>
      <c r="BS14" s="131"/>
      <c r="BT14" s="131"/>
      <c r="BU14" s="131"/>
      <c r="BV14" s="131"/>
      <c r="BW14" s="131">
        <v>1</v>
      </c>
      <c r="BX14" s="46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045">
        <f t="shared" si="4"/>
        <v>2</v>
      </c>
      <c r="CK14" s="131"/>
      <c r="CL14" s="131"/>
      <c r="CM14" s="131">
        <v>1</v>
      </c>
      <c r="CN14" s="131"/>
      <c r="CO14" s="131"/>
      <c r="CP14" s="131"/>
      <c r="CQ14" s="131">
        <v>1</v>
      </c>
      <c r="CR14" s="131"/>
      <c r="CS14" s="131"/>
      <c r="CT14" s="131"/>
      <c r="CU14" s="131"/>
      <c r="CV14" s="131"/>
      <c r="CW14" s="131"/>
      <c r="CX14" s="131"/>
      <c r="CY14" s="131"/>
      <c r="CZ14" s="131">
        <v>1</v>
      </c>
      <c r="DA14" s="131"/>
    </row>
    <row r="15" spans="1:105" s="2" customFormat="1" x14ac:dyDescent="0.25">
      <c r="A15" s="1038">
        <f t="shared" si="0"/>
        <v>12</v>
      </c>
      <c r="B15" s="1368"/>
      <c r="C15" s="1066" t="s">
        <v>269</v>
      </c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042">
        <f t="shared" si="1"/>
        <v>0</v>
      </c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043">
        <f t="shared" si="2"/>
        <v>0</v>
      </c>
      <c r="AT15" s="131"/>
      <c r="AU15" s="131">
        <v>1</v>
      </c>
      <c r="AV15" s="131"/>
      <c r="AW15" s="131">
        <v>1</v>
      </c>
      <c r="AX15" s="131">
        <v>1</v>
      </c>
      <c r="AY15" s="131"/>
      <c r="AZ15" s="131"/>
      <c r="BA15" s="131"/>
      <c r="BB15" s="131">
        <v>1</v>
      </c>
      <c r="BC15" s="131">
        <v>1</v>
      </c>
      <c r="BD15" s="131"/>
      <c r="BE15" s="131"/>
      <c r="BF15" s="131"/>
      <c r="BG15" s="131">
        <v>1</v>
      </c>
      <c r="BH15" s="131">
        <v>1</v>
      </c>
      <c r="BI15" s="131"/>
      <c r="BJ15" s="131"/>
      <c r="BK15" s="131">
        <v>1</v>
      </c>
      <c r="BL15" s="1044">
        <f t="shared" si="3"/>
        <v>8</v>
      </c>
      <c r="BM15" s="131">
        <v>1</v>
      </c>
      <c r="BN15" s="131"/>
      <c r="BO15" s="131"/>
      <c r="BP15" s="131"/>
      <c r="BQ15" s="131"/>
      <c r="BR15" s="131"/>
      <c r="BS15" s="131"/>
      <c r="BT15" s="131"/>
      <c r="BU15" s="131"/>
      <c r="BV15" s="131">
        <v>1</v>
      </c>
      <c r="BW15" s="131"/>
      <c r="BX15" s="131">
        <v>1</v>
      </c>
      <c r="BY15" s="131"/>
      <c r="BZ15" s="131"/>
      <c r="CA15" s="131"/>
      <c r="CB15" s="131"/>
      <c r="CC15" s="131"/>
      <c r="CD15" s="131"/>
      <c r="CE15" s="131"/>
      <c r="CF15" s="131">
        <v>1</v>
      </c>
      <c r="CG15" s="131"/>
      <c r="CH15" s="131"/>
      <c r="CI15" s="131"/>
      <c r="CJ15" s="1045">
        <f t="shared" si="4"/>
        <v>4</v>
      </c>
      <c r="CK15" s="131"/>
      <c r="CL15" s="131"/>
      <c r="CM15" s="131"/>
      <c r="CN15" s="131"/>
      <c r="CO15" s="131"/>
      <c r="CP15" s="131"/>
      <c r="CQ15" s="131"/>
      <c r="CR15" s="131"/>
      <c r="CS15" s="131"/>
      <c r="CT15" s="131"/>
      <c r="CU15" s="131"/>
      <c r="CV15" s="131"/>
      <c r="CW15" s="131"/>
      <c r="CX15" s="131"/>
      <c r="CY15" s="131"/>
      <c r="CZ15" s="131"/>
      <c r="DA15" s="131"/>
    </row>
    <row r="16" spans="1:105" s="2" customFormat="1" x14ac:dyDescent="0.25">
      <c r="A16" s="1064">
        <f t="shared" si="0"/>
        <v>19</v>
      </c>
      <c r="B16" s="1368"/>
      <c r="C16" s="1066" t="s">
        <v>271</v>
      </c>
      <c r="D16" s="131"/>
      <c r="E16" s="131"/>
      <c r="F16" s="131">
        <v>1</v>
      </c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>
        <v>1</v>
      </c>
      <c r="R16" s="131"/>
      <c r="S16" s="131"/>
      <c r="T16" s="131"/>
      <c r="U16" s="131"/>
      <c r="V16" s="131">
        <v>1</v>
      </c>
      <c r="W16" s="131"/>
      <c r="X16" s="131"/>
      <c r="Y16" s="131"/>
      <c r="Z16" s="1042">
        <f t="shared" si="1"/>
        <v>3</v>
      </c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>
        <v>1</v>
      </c>
      <c r="AM16" s="131">
        <v>1</v>
      </c>
      <c r="AN16" s="131">
        <v>1</v>
      </c>
      <c r="AO16" s="131"/>
      <c r="AP16" s="131"/>
      <c r="AQ16" s="131">
        <v>1</v>
      </c>
      <c r="AR16" s="131"/>
      <c r="AS16" s="1043">
        <f t="shared" si="2"/>
        <v>4</v>
      </c>
      <c r="AT16" s="131">
        <v>1</v>
      </c>
      <c r="AU16" s="131"/>
      <c r="AV16" s="131"/>
      <c r="AW16" s="131"/>
      <c r="AX16" s="131"/>
      <c r="AY16" s="131">
        <v>1</v>
      </c>
      <c r="AZ16" s="131"/>
      <c r="BA16" s="131"/>
      <c r="BB16" s="131">
        <v>1</v>
      </c>
      <c r="BC16" s="131">
        <v>1</v>
      </c>
      <c r="BD16" s="131"/>
      <c r="BE16" s="131"/>
      <c r="BF16" s="131"/>
      <c r="BG16" s="131"/>
      <c r="BH16" s="131">
        <v>1</v>
      </c>
      <c r="BI16" s="131"/>
      <c r="BJ16" s="131"/>
      <c r="BK16" s="131">
        <v>1</v>
      </c>
      <c r="BL16" s="1044">
        <f t="shared" si="3"/>
        <v>6</v>
      </c>
      <c r="BM16" s="131"/>
      <c r="BN16" s="131"/>
      <c r="BO16" s="131"/>
      <c r="BP16" s="131"/>
      <c r="BQ16" s="131"/>
      <c r="BR16" s="131"/>
      <c r="BS16" s="131"/>
      <c r="BT16" s="131"/>
      <c r="BU16" s="131"/>
      <c r="BV16" s="131">
        <v>1</v>
      </c>
      <c r="BW16" s="131"/>
      <c r="BX16" s="131"/>
      <c r="BY16" s="131"/>
      <c r="BZ16" s="131"/>
      <c r="CA16" s="131">
        <v>1</v>
      </c>
      <c r="CB16" s="131">
        <v>1</v>
      </c>
      <c r="CC16" s="131"/>
      <c r="CD16" s="131"/>
      <c r="CE16" s="131"/>
      <c r="CF16" s="131">
        <v>1</v>
      </c>
      <c r="CG16" s="131"/>
      <c r="CH16" s="131"/>
      <c r="CI16" s="131"/>
      <c r="CJ16" s="1045">
        <f t="shared" si="4"/>
        <v>4</v>
      </c>
      <c r="CK16" s="131"/>
      <c r="CL16" s="131"/>
      <c r="CM16" s="131"/>
      <c r="CN16" s="131">
        <v>1</v>
      </c>
      <c r="CO16" s="131">
        <v>1</v>
      </c>
      <c r="CP16" s="131"/>
      <c r="CQ16" s="131"/>
      <c r="CR16" s="131"/>
      <c r="CS16" s="131"/>
      <c r="CT16" s="131"/>
      <c r="CU16" s="131"/>
      <c r="CV16" s="131"/>
      <c r="CW16" s="131"/>
      <c r="CX16" s="131"/>
      <c r="CY16" s="131"/>
      <c r="CZ16" s="131"/>
      <c r="DA16" s="131"/>
    </row>
    <row r="17" spans="1:105" s="2" customFormat="1" x14ac:dyDescent="0.25">
      <c r="A17" s="1064">
        <f t="shared" si="0"/>
        <v>15</v>
      </c>
      <c r="B17" s="1368"/>
      <c r="C17" s="1066" t="s">
        <v>273</v>
      </c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042">
        <f t="shared" si="1"/>
        <v>0</v>
      </c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043">
        <f t="shared" si="2"/>
        <v>0</v>
      </c>
      <c r="AT17" s="131"/>
      <c r="AU17" s="131"/>
      <c r="AV17" s="131"/>
      <c r="AW17" s="131"/>
      <c r="AX17" s="131"/>
      <c r="AY17" s="131"/>
      <c r="AZ17" s="131"/>
      <c r="BA17" s="131"/>
      <c r="BB17" s="131">
        <v>1</v>
      </c>
      <c r="BC17" s="131">
        <v>1</v>
      </c>
      <c r="BD17" s="131">
        <v>1</v>
      </c>
      <c r="BE17" s="131"/>
      <c r="BF17" s="131"/>
      <c r="BG17" s="131"/>
      <c r="BH17" s="131">
        <v>1</v>
      </c>
      <c r="BI17" s="131"/>
      <c r="BJ17" s="131"/>
      <c r="BK17" s="131"/>
      <c r="BL17" s="1044">
        <f t="shared" si="3"/>
        <v>4</v>
      </c>
      <c r="BM17" s="131"/>
      <c r="BN17" s="131"/>
      <c r="BO17" s="131"/>
      <c r="BP17" s="131"/>
      <c r="BQ17" s="131"/>
      <c r="BR17" s="131">
        <v>1</v>
      </c>
      <c r="BS17" s="131">
        <v>1</v>
      </c>
      <c r="BT17" s="131"/>
      <c r="BU17" s="131"/>
      <c r="BV17" s="131">
        <v>1</v>
      </c>
      <c r="BW17" s="131"/>
      <c r="BX17" s="131">
        <v>1</v>
      </c>
      <c r="BY17" s="131"/>
      <c r="BZ17" s="131">
        <v>1</v>
      </c>
      <c r="CA17" s="131">
        <v>1</v>
      </c>
      <c r="CB17" s="131">
        <v>1</v>
      </c>
      <c r="CC17" s="131"/>
      <c r="CD17" s="131"/>
      <c r="CE17" s="131"/>
      <c r="CF17" s="131"/>
      <c r="CG17" s="131"/>
      <c r="CH17" s="131"/>
      <c r="CI17" s="131"/>
      <c r="CJ17" s="1045">
        <f t="shared" si="4"/>
        <v>7</v>
      </c>
      <c r="CK17" s="131">
        <v>1</v>
      </c>
      <c r="CL17" s="131"/>
      <c r="CM17" s="131">
        <v>1</v>
      </c>
      <c r="CN17" s="131"/>
      <c r="CO17" s="131"/>
      <c r="CP17" s="131"/>
      <c r="CQ17" s="131"/>
      <c r="CR17" s="131">
        <v>1</v>
      </c>
      <c r="CS17" s="131"/>
      <c r="CT17" s="131"/>
      <c r="CU17" s="131"/>
      <c r="CV17" s="131"/>
      <c r="CW17" s="131"/>
      <c r="CX17" s="131"/>
      <c r="CY17" s="131"/>
      <c r="CZ17" s="131">
        <v>1</v>
      </c>
      <c r="DA17" s="131"/>
    </row>
    <row r="18" spans="1:105" s="2" customFormat="1" x14ac:dyDescent="0.25">
      <c r="A18" s="1064">
        <f t="shared" si="0"/>
        <v>19</v>
      </c>
      <c r="B18" s="1368"/>
      <c r="C18" s="1066" t="s">
        <v>275</v>
      </c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042">
        <f t="shared" si="1"/>
        <v>0</v>
      </c>
      <c r="AA18" s="131"/>
      <c r="AB18" s="131"/>
      <c r="AC18" s="131"/>
      <c r="AD18" s="131"/>
      <c r="AE18" s="131"/>
      <c r="AF18" s="131">
        <v>1</v>
      </c>
      <c r="AG18" s="131">
        <v>1</v>
      </c>
      <c r="AH18" s="131">
        <v>1</v>
      </c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043">
        <f t="shared" si="2"/>
        <v>3</v>
      </c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  <c r="BG18" s="131"/>
      <c r="BH18" s="131"/>
      <c r="BI18" s="131"/>
      <c r="BJ18" s="131"/>
      <c r="BK18" s="131"/>
      <c r="BL18" s="1044">
        <f t="shared" si="3"/>
        <v>0</v>
      </c>
      <c r="BM18" s="131"/>
      <c r="BN18" s="131"/>
      <c r="BO18" s="131"/>
      <c r="BP18" s="131"/>
      <c r="BQ18" s="131"/>
      <c r="BR18" s="131"/>
      <c r="BS18" s="131"/>
      <c r="BT18" s="131"/>
      <c r="BU18" s="131"/>
      <c r="BV18" s="131"/>
      <c r="BW18" s="131"/>
      <c r="BX18" s="131"/>
      <c r="BY18" s="131">
        <v>1</v>
      </c>
      <c r="BZ18" s="131"/>
      <c r="CA18" s="131"/>
      <c r="CB18" s="131"/>
      <c r="CC18" s="131">
        <v>1</v>
      </c>
      <c r="CD18" s="131">
        <v>1</v>
      </c>
      <c r="CE18" s="131"/>
      <c r="CF18" s="131">
        <v>1</v>
      </c>
      <c r="CG18" s="131"/>
      <c r="CH18" s="131"/>
      <c r="CI18" s="131">
        <v>1</v>
      </c>
      <c r="CJ18" s="1045">
        <f t="shared" si="4"/>
        <v>5</v>
      </c>
      <c r="CK18" s="131">
        <v>1</v>
      </c>
      <c r="CL18" s="131"/>
      <c r="CM18" s="131">
        <v>1</v>
      </c>
      <c r="CN18" s="131"/>
      <c r="CO18" s="131"/>
      <c r="CP18" s="131">
        <v>1</v>
      </c>
      <c r="CQ18" s="131">
        <v>1</v>
      </c>
      <c r="CR18" s="131">
        <v>1</v>
      </c>
      <c r="CS18" s="131">
        <v>1</v>
      </c>
      <c r="CT18" s="131">
        <v>1</v>
      </c>
      <c r="CU18" s="131">
        <v>1</v>
      </c>
      <c r="CV18" s="131"/>
      <c r="CW18" s="131">
        <v>1</v>
      </c>
      <c r="CX18" s="131"/>
      <c r="CY18" s="131">
        <v>1</v>
      </c>
      <c r="CZ18" s="131">
        <v>1</v>
      </c>
      <c r="DA18" s="131"/>
    </row>
    <row r="19" spans="1:105" s="2" customFormat="1" x14ac:dyDescent="0.25">
      <c r="A19" s="1064">
        <f t="shared" si="0"/>
        <v>17</v>
      </c>
      <c r="B19" s="1368"/>
      <c r="C19" s="1066" t="s">
        <v>277</v>
      </c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042">
        <f t="shared" si="1"/>
        <v>0</v>
      </c>
      <c r="AA19" s="131"/>
      <c r="AB19" s="131"/>
      <c r="AC19" s="131"/>
      <c r="AD19" s="131"/>
      <c r="AE19" s="131"/>
      <c r="AF19" s="131">
        <v>1</v>
      </c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043">
        <f t="shared" si="2"/>
        <v>1</v>
      </c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31"/>
      <c r="BE19" s="131"/>
      <c r="BF19" s="131">
        <v>1</v>
      </c>
      <c r="BG19" s="131"/>
      <c r="BH19" s="131"/>
      <c r="BI19" s="131"/>
      <c r="BJ19" s="131"/>
      <c r="BK19" s="131"/>
      <c r="BL19" s="1044">
        <f t="shared" si="3"/>
        <v>1</v>
      </c>
      <c r="BM19" s="131"/>
      <c r="BN19" s="131"/>
      <c r="BO19" s="131"/>
      <c r="BP19" s="131"/>
      <c r="BQ19" s="131"/>
      <c r="BR19" s="131">
        <v>1</v>
      </c>
      <c r="BS19" s="131">
        <v>1</v>
      </c>
      <c r="BT19" s="131"/>
      <c r="BU19" s="131"/>
      <c r="BV19" s="131"/>
      <c r="BW19" s="131"/>
      <c r="BX19" s="131"/>
      <c r="BY19" s="131">
        <v>1</v>
      </c>
      <c r="BZ19" s="131">
        <v>1</v>
      </c>
      <c r="CA19" s="131"/>
      <c r="CB19" s="131"/>
      <c r="CC19" s="131">
        <v>1</v>
      </c>
      <c r="CD19" s="131"/>
      <c r="CE19" s="131"/>
      <c r="CF19" s="131"/>
      <c r="CG19" s="131"/>
      <c r="CH19" s="131"/>
      <c r="CI19" s="131">
        <v>1</v>
      </c>
      <c r="CJ19" s="1045">
        <f t="shared" si="4"/>
        <v>6</v>
      </c>
      <c r="CK19" s="131">
        <v>1</v>
      </c>
      <c r="CL19" s="131"/>
      <c r="CM19" s="131">
        <v>1</v>
      </c>
      <c r="CN19" s="131"/>
      <c r="CO19" s="131"/>
      <c r="CP19" s="131">
        <v>1</v>
      </c>
      <c r="CQ19" s="131"/>
      <c r="CR19" s="131">
        <v>1</v>
      </c>
      <c r="CS19" s="131">
        <v>1</v>
      </c>
      <c r="CT19" s="131">
        <v>1</v>
      </c>
      <c r="CU19" s="131">
        <v>1</v>
      </c>
      <c r="CV19" s="131"/>
      <c r="CW19" s="131">
        <v>1</v>
      </c>
      <c r="CX19" s="131"/>
      <c r="CY19" s="131">
        <v>1</v>
      </c>
      <c r="CZ19" s="131"/>
      <c r="DA19" s="131"/>
    </row>
    <row r="20" spans="1:105" s="2" customFormat="1" x14ac:dyDescent="0.25">
      <c r="A20" s="1064">
        <f t="shared" si="0"/>
        <v>17</v>
      </c>
      <c r="B20" s="1368"/>
      <c r="C20" s="1066" t="s">
        <v>279</v>
      </c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042">
        <f t="shared" si="1"/>
        <v>0</v>
      </c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>
        <v>1</v>
      </c>
      <c r="AP20" s="131">
        <v>1</v>
      </c>
      <c r="AQ20" s="131">
        <v>1</v>
      </c>
      <c r="AR20" s="131"/>
      <c r="AS20" s="1043">
        <f t="shared" si="2"/>
        <v>3</v>
      </c>
      <c r="AT20" s="131"/>
      <c r="AU20" s="131"/>
      <c r="AV20" s="131"/>
      <c r="AW20" s="131"/>
      <c r="AX20" s="131"/>
      <c r="AY20" s="131"/>
      <c r="AZ20" s="131"/>
      <c r="BA20" s="131"/>
      <c r="BB20" s="131">
        <v>1</v>
      </c>
      <c r="BC20" s="131"/>
      <c r="BD20" s="131"/>
      <c r="BE20" s="131"/>
      <c r="BF20" s="131"/>
      <c r="BG20" s="131"/>
      <c r="BH20" s="131"/>
      <c r="BI20" s="131"/>
      <c r="BJ20" s="131"/>
      <c r="BK20" s="131"/>
      <c r="BL20" s="1044">
        <f t="shared" si="3"/>
        <v>1</v>
      </c>
      <c r="BM20" s="131"/>
      <c r="BN20" s="131"/>
      <c r="BO20" s="131"/>
      <c r="BP20" s="131"/>
      <c r="BQ20" s="131"/>
      <c r="BR20" s="131">
        <v>1</v>
      </c>
      <c r="BS20" s="131">
        <v>1</v>
      </c>
      <c r="BT20" s="131"/>
      <c r="BU20" s="131"/>
      <c r="BV20" s="131"/>
      <c r="BW20" s="131"/>
      <c r="BX20" s="131"/>
      <c r="BY20" s="131"/>
      <c r="BZ20" s="131"/>
      <c r="CA20" s="131"/>
      <c r="CB20" s="131"/>
      <c r="CC20" s="131">
        <v>1</v>
      </c>
      <c r="CD20" s="131">
        <v>1</v>
      </c>
      <c r="CE20" s="131"/>
      <c r="CF20" s="131"/>
      <c r="CG20" s="131"/>
      <c r="CH20" s="131"/>
      <c r="CI20" s="131">
        <v>1</v>
      </c>
      <c r="CJ20" s="1045">
        <f t="shared" si="4"/>
        <v>5</v>
      </c>
      <c r="CK20" s="131"/>
      <c r="CL20" s="131"/>
      <c r="CM20" s="131"/>
      <c r="CN20" s="131"/>
      <c r="CO20" s="131"/>
      <c r="CP20" s="131">
        <v>1</v>
      </c>
      <c r="CQ20" s="131"/>
      <c r="CR20" s="131">
        <v>1</v>
      </c>
      <c r="CS20" s="131">
        <v>1</v>
      </c>
      <c r="CT20" s="131">
        <v>1</v>
      </c>
      <c r="CU20" s="131">
        <v>1</v>
      </c>
      <c r="CV20" s="131"/>
      <c r="CW20" s="131">
        <v>1</v>
      </c>
      <c r="CX20" s="131">
        <v>1</v>
      </c>
      <c r="CY20" s="131">
        <v>1</v>
      </c>
      <c r="CZ20" s="131"/>
      <c r="DA20" s="131"/>
    </row>
    <row r="21" spans="1:105" s="2" customFormat="1" x14ac:dyDescent="0.25">
      <c r="A21" s="1038">
        <f t="shared" si="0"/>
        <v>15</v>
      </c>
      <c r="B21" s="1368"/>
      <c r="C21" s="1066" t="s">
        <v>281</v>
      </c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042">
        <f t="shared" si="1"/>
        <v>0</v>
      </c>
      <c r="AA21" s="131"/>
      <c r="AB21" s="131"/>
      <c r="AC21" s="131"/>
      <c r="AD21" s="131">
        <v>1</v>
      </c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043">
        <f t="shared" si="2"/>
        <v>1</v>
      </c>
      <c r="AT21" s="131"/>
      <c r="AU21" s="131"/>
      <c r="AV21" s="131"/>
      <c r="AW21" s="131"/>
      <c r="AX21" s="131">
        <v>1</v>
      </c>
      <c r="AY21" s="131">
        <v>1</v>
      </c>
      <c r="AZ21" s="131"/>
      <c r="BA21" s="131"/>
      <c r="BB21" s="131"/>
      <c r="BC21" s="131"/>
      <c r="BD21" s="131"/>
      <c r="BE21" s="131"/>
      <c r="BF21" s="131"/>
      <c r="BG21" s="131"/>
      <c r="BH21" s="131"/>
      <c r="BI21" s="131">
        <v>1</v>
      </c>
      <c r="BJ21" s="131">
        <v>1</v>
      </c>
      <c r="BK21" s="131">
        <v>1</v>
      </c>
      <c r="BL21" s="1044">
        <f t="shared" si="3"/>
        <v>5</v>
      </c>
      <c r="BM21" s="131"/>
      <c r="BN21" s="131"/>
      <c r="BO21" s="131"/>
      <c r="BP21" s="131"/>
      <c r="BQ21" s="131"/>
      <c r="BR21" s="131">
        <v>1</v>
      </c>
      <c r="BS21" s="131">
        <v>1</v>
      </c>
      <c r="BT21" s="131"/>
      <c r="BU21" s="131">
        <v>1</v>
      </c>
      <c r="BV21" s="131">
        <v>1</v>
      </c>
      <c r="BW21" s="131"/>
      <c r="BX21" s="131"/>
      <c r="BY21" s="131"/>
      <c r="BZ21" s="131"/>
      <c r="CA21" s="131">
        <v>1</v>
      </c>
      <c r="CB21" s="131">
        <v>1</v>
      </c>
      <c r="CC21" s="131"/>
      <c r="CD21" s="46"/>
      <c r="CE21" s="131"/>
      <c r="CF21" s="131"/>
      <c r="CG21" s="131"/>
      <c r="CH21" s="131"/>
      <c r="CI21" s="131">
        <v>1</v>
      </c>
      <c r="CJ21" s="1045">
        <f t="shared" si="4"/>
        <v>7</v>
      </c>
      <c r="CK21" s="131"/>
      <c r="CL21" s="131"/>
      <c r="CM21" s="131"/>
      <c r="CN21" s="131">
        <v>1</v>
      </c>
      <c r="CO21" s="131">
        <v>1</v>
      </c>
      <c r="CP21" s="131"/>
      <c r="CQ21" s="131"/>
      <c r="CR21" s="131"/>
      <c r="CS21" s="131"/>
      <c r="CT21" s="131"/>
      <c r="CU21" s="131"/>
      <c r="CV21" s="131"/>
      <c r="CW21" s="131"/>
      <c r="CX21" s="131"/>
      <c r="CY21" s="131"/>
      <c r="CZ21" s="131"/>
      <c r="DA21" s="131"/>
    </row>
    <row r="22" spans="1:105" s="2" customFormat="1" x14ac:dyDescent="0.25">
      <c r="A22" s="1064">
        <f t="shared" si="0"/>
        <v>18</v>
      </c>
      <c r="B22" s="1368"/>
      <c r="C22" s="1066" t="s">
        <v>283</v>
      </c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>
        <v>1</v>
      </c>
      <c r="S22" s="131"/>
      <c r="T22" s="131"/>
      <c r="U22" s="131"/>
      <c r="V22" s="131"/>
      <c r="W22" s="131">
        <v>1</v>
      </c>
      <c r="X22" s="131"/>
      <c r="Y22" s="131"/>
      <c r="Z22" s="1042">
        <f t="shared" si="1"/>
        <v>2</v>
      </c>
      <c r="AA22" s="131"/>
      <c r="AB22" s="131"/>
      <c r="AC22" s="131"/>
      <c r="AD22" s="131"/>
      <c r="AE22" s="131"/>
      <c r="AF22" s="131"/>
      <c r="AG22" s="131">
        <v>1</v>
      </c>
      <c r="AH22" s="131">
        <v>1</v>
      </c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043">
        <f t="shared" si="2"/>
        <v>2</v>
      </c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>
        <v>1</v>
      </c>
      <c r="BF22" s="131"/>
      <c r="BG22" s="131"/>
      <c r="BH22" s="131"/>
      <c r="BI22" s="131"/>
      <c r="BJ22" s="131"/>
      <c r="BK22" s="131"/>
      <c r="BL22" s="1044">
        <f t="shared" si="3"/>
        <v>1</v>
      </c>
      <c r="BM22" s="131"/>
      <c r="BN22" s="131"/>
      <c r="BO22" s="131"/>
      <c r="BP22" s="131"/>
      <c r="BQ22" s="131"/>
      <c r="BR22" s="131"/>
      <c r="BS22" s="131"/>
      <c r="BT22" s="131"/>
      <c r="BU22" s="131"/>
      <c r="BV22" s="131"/>
      <c r="BW22" s="131"/>
      <c r="BX22" s="131"/>
      <c r="BY22" s="131">
        <v>1</v>
      </c>
      <c r="BZ22" s="131"/>
      <c r="CA22" s="131"/>
      <c r="CB22" s="131"/>
      <c r="CC22" s="131">
        <v>1</v>
      </c>
      <c r="CD22" s="131">
        <v>1</v>
      </c>
      <c r="CE22" s="131">
        <v>1</v>
      </c>
      <c r="CF22" s="131"/>
      <c r="CG22" s="131">
        <v>1</v>
      </c>
      <c r="CH22" s="131"/>
      <c r="CI22" s="131"/>
      <c r="CJ22" s="1045">
        <f t="shared" si="4"/>
        <v>5</v>
      </c>
      <c r="CK22" s="131"/>
      <c r="CL22" s="131"/>
      <c r="CM22" s="131"/>
      <c r="CN22" s="131"/>
      <c r="CO22" s="131"/>
      <c r="CP22" s="131">
        <v>1</v>
      </c>
      <c r="CQ22" s="131"/>
      <c r="CR22" s="131">
        <v>1</v>
      </c>
      <c r="CS22" s="131">
        <v>1</v>
      </c>
      <c r="CT22" s="131">
        <v>1</v>
      </c>
      <c r="CU22" s="131">
        <v>1</v>
      </c>
      <c r="CV22" s="131">
        <v>1</v>
      </c>
      <c r="CW22" s="131"/>
      <c r="CX22" s="131">
        <v>1</v>
      </c>
      <c r="CY22" s="131"/>
      <c r="CZ22" s="131">
        <v>1</v>
      </c>
      <c r="DA22" s="131"/>
    </row>
    <row r="23" spans="1:105" s="2" customFormat="1" x14ac:dyDescent="0.25">
      <c r="A23" s="1038">
        <f t="shared" si="0"/>
        <v>14</v>
      </c>
      <c r="B23" s="1368"/>
      <c r="C23" s="1066" t="s">
        <v>285</v>
      </c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042">
        <f t="shared" si="1"/>
        <v>0</v>
      </c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043">
        <f t="shared" si="2"/>
        <v>0</v>
      </c>
      <c r="AT23" s="131"/>
      <c r="AU23" s="131">
        <v>1</v>
      </c>
      <c r="AV23" s="131"/>
      <c r="AW23" s="131">
        <v>1</v>
      </c>
      <c r="AX23" s="131">
        <v>1</v>
      </c>
      <c r="AY23" s="131"/>
      <c r="AZ23" s="131"/>
      <c r="BA23" s="131"/>
      <c r="BB23" s="131">
        <v>1</v>
      </c>
      <c r="BC23" s="131">
        <v>1</v>
      </c>
      <c r="BD23" s="131"/>
      <c r="BE23" s="131"/>
      <c r="BF23" s="131"/>
      <c r="BG23" s="131">
        <v>1</v>
      </c>
      <c r="BH23" s="131"/>
      <c r="BI23" s="131"/>
      <c r="BJ23" s="131"/>
      <c r="BK23" s="131"/>
      <c r="BL23" s="1044">
        <f t="shared" si="3"/>
        <v>6</v>
      </c>
      <c r="BM23" s="131"/>
      <c r="BN23" s="131"/>
      <c r="BO23" s="131"/>
      <c r="BP23" s="131"/>
      <c r="BQ23" s="131"/>
      <c r="BR23" s="131">
        <v>1</v>
      </c>
      <c r="BS23" s="131">
        <v>1</v>
      </c>
      <c r="BT23" s="131"/>
      <c r="BU23" s="131"/>
      <c r="BV23" s="131">
        <v>1</v>
      </c>
      <c r="BW23" s="131"/>
      <c r="BX23" s="131">
        <v>1</v>
      </c>
      <c r="BY23" s="131"/>
      <c r="BZ23" s="131"/>
      <c r="CA23" s="131">
        <v>1</v>
      </c>
      <c r="CB23" s="131">
        <v>1</v>
      </c>
      <c r="CC23" s="131"/>
      <c r="CD23" s="131"/>
      <c r="CE23" s="131"/>
      <c r="CF23" s="131"/>
      <c r="CG23" s="131"/>
      <c r="CH23" s="131"/>
      <c r="CI23" s="131"/>
      <c r="CJ23" s="1045">
        <f t="shared" si="4"/>
        <v>6</v>
      </c>
      <c r="CK23" s="131"/>
      <c r="CL23" s="131"/>
      <c r="CM23" s="131"/>
      <c r="CN23" s="131">
        <v>1</v>
      </c>
      <c r="CO23" s="131">
        <v>1</v>
      </c>
      <c r="CP23" s="131"/>
      <c r="CQ23" s="131"/>
      <c r="CR23" s="131"/>
      <c r="CS23" s="131"/>
      <c r="CT23" s="131"/>
      <c r="CU23" s="131"/>
      <c r="CV23" s="131"/>
      <c r="CW23" s="131"/>
      <c r="CX23" s="131"/>
      <c r="CY23" s="131"/>
      <c r="CZ23" s="131"/>
      <c r="DA23" s="131"/>
    </row>
    <row r="24" spans="1:105" s="2" customFormat="1" x14ac:dyDescent="0.25">
      <c r="A24" s="1038">
        <f t="shared" si="0"/>
        <v>15</v>
      </c>
      <c r="B24" s="1368"/>
      <c r="C24" s="1041" t="s">
        <v>287</v>
      </c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>
        <v>1</v>
      </c>
      <c r="U24" s="131"/>
      <c r="V24" s="131"/>
      <c r="W24" s="131"/>
      <c r="X24" s="131"/>
      <c r="Y24" s="131"/>
      <c r="Z24" s="1042">
        <f t="shared" si="1"/>
        <v>1</v>
      </c>
      <c r="AA24" s="131"/>
      <c r="AB24" s="131"/>
      <c r="AC24" s="131"/>
      <c r="AD24" s="131"/>
      <c r="AE24" s="131"/>
      <c r="AF24" s="131"/>
      <c r="AG24" s="131"/>
      <c r="AH24" s="131">
        <v>1</v>
      </c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043">
        <f t="shared" si="2"/>
        <v>1</v>
      </c>
      <c r="AT24" s="131"/>
      <c r="AU24" s="131"/>
      <c r="AV24" s="131"/>
      <c r="AW24" s="131"/>
      <c r="AX24" s="131"/>
      <c r="AY24" s="131"/>
      <c r="AZ24" s="131"/>
      <c r="BA24" s="131"/>
      <c r="BB24" s="131"/>
      <c r="BC24" s="131"/>
      <c r="BD24" s="131">
        <v>1</v>
      </c>
      <c r="BE24" s="131"/>
      <c r="BF24" s="131"/>
      <c r="BG24" s="131"/>
      <c r="BH24" s="131"/>
      <c r="BI24" s="131"/>
      <c r="BJ24" s="131"/>
      <c r="BK24" s="131"/>
      <c r="BL24" s="1044">
        <f t="shared" si="3"/>
        <v>1</v>
      </c>
      <c r="BM24" s="131"/>
      <c r="BN24" s="131"/>
      <c r="BO24" s="131"/>
      <c r="BP24" s="131"/>
      <c r="BQ24" s="131"/>
      <c r="BR24" s="131">
        <v>1</v>
      </c>
      <c r="BS24" s="131">
        <v>1</v>
      </c>
      <c r="BT24" s="131"/>
      <c r="BU24" s="131"/>
      <c r="BV24" s="131"/>
      <c r="BW24" s="131"/>
      <c r="BX24" s="131"/>
      <c r="BY24" s="131"/>
      <c r="BZ24" s="131"/>
      <c r="CA24" s="131"/>
      <c r="CB24" s="131"/>
      <c r="CC24" s="131">
        <v>1</v>
      </c>
      <c r="CD24" s="131">
        <v>1</v>
      </c>
      <c r="CE24" s="131">
        <v>1</v>
      </c>
      <c r="CF24" s="131"/>
      <c r="CG24" s="131">
        <v>1</v>
      </c>
      <c r="CH24" s="131">
        <v>1</v>
      </c>
      <c r="CI24" s="131"/>
      <c r="CJ24" s="1045">
        <f t="shared" si="4"/>
        <v>7</v>
      </c>
      <c r="CK24" s="131"/>
      <c r="CL24" s="131"/>
      <c r="CM24" s="46"/>
      <c r="CN24" s="131"/>
      <c r="CO24" s="46"/>
      <c r="CP24" s="131"/>
      <c r="CQ24" s="131"/>
      <c r="CR24" s="131">
        <v>1</v>
      </c>
      <c r="CS24" s="131"/>
      <c r="CT24" s="131"/>
      <c r="CU24" s="131"/>
      <c r="CV24" s="131">
        <v>1</v>
      </c>
      <c r="CW24" s="131">
        <v>1</v>
      </c>
      <c r="CX24" s="131">
        <v>1</v>
      </c>
      <c r="CY24" s="131"/>
      <c r="CZ24" s="46"/>
      <c r="DA24" s="131">
        <v>1</v>
      </c>
    </row>
    <row r="25" spans="1:105" s="2" customFormat="1" x14ac:dyDescent="0.25">
      <c r="A25" s="1038">
        <f t="shared" si="0"/>
        <v>4</v>
      </c>
      <c r="B25" s="1368"/>
      <c r="C25" s="1041" t="s">
        <v>289</v>
      </c>
      <c r="D25" s="131"/>
      <c r="E25" s="131"/>
      <c r="F25" s="131"/>
      <c r="G25" s="131"/>
      <c r="H25" s="131"/>
      <c r="I25" s="131">
        <v>1</v>
      </c>
      <c r="J25" s="131">
        <v>1</v>
      </c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042">
        <f t="shared" si="1"/>
        <v>2</v>
      </c>
      <c r="AA25" s="131"/>
      <c r="AB25" s="131">
        <v>1</v>
      </c>
      <c r="AC25" s="131">
        <v>1</v>
      </c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043">
        <f t="shared" si="2"/>
        <v>2</v>
      </c>
      <c r="AT25" s="131"/>
      <c r="AU25" s="131"/>
      <c r="AV25" s="131"/>
      <c r="AW25" s="131"/>
      <c r="AX25" s="131"/>
      <c r="AY25" s="131"/>
      <c r="AZ25" s="131"/>
      <c r="BA25" s="131"/>
      <c r="BB25" s="131"/>
      <c r="BC25" s="131"/>
      <c r="BD25" s="131"/>
      <c r="BE25" s="131"/>
      <c r="BF25" s="131"/>
      <c r="BG25" s="131"/>
      <c r="BH25" s="131"/>
      <c r="BI25" s="131"/>
      <c r="BJ25" s="131"/>
      <c r="BK25" s="131"/>
      <c r="BL25" s="1044">
        <f t="shared" si="3"/>
        <v>0</v>
      </c>
      <c r="BM25" s="131"/>
      <c r="BN25" s="131"/>
      <c r="BO25" s="131"/>
      <c r="BP25" s="131"/>
      <c r="BQ25" s="131"/>
      <c r="BR25" s="131"/>
      <c r="BS25" s="131"/>
      <c r="BT25" s="131"/>
      <c r="BU25" s="131"/>
      <c r="BV25" s="131"/>
      <c r="BW25" s="131"/>
      <c r="BX25" s="131"/>
      <c r="BY25" s="131"/>
      <c r="BZ25" s="131"/>
      <c r="CA25" s="131"/>
      <c r="CB25" s="131"/>
      <c r="CC25" s="131"/>
      <c r="CD25" s="131"/>
      <c r="CE25" s="131"/>
      <c r="CF25" s="131"/>
      <c r="CG25" s="131"/>
      <c r="CH25" s="131"/>
      <c r="CI25" s="131"/>
      <c r="CJ25" s="1045">
        <f t="shared" si="4"/>
        <v>0</v>
      </c>
      <c r="CK25" s="131"/>
      <c r="CL25" s="131"/>
      <c r="CM25" s="131"/>
      <c r="CN25" s="131"/>
      <c r="CO25" s="131"/>
      <c r="CP25" s="131"/>
      <c r="CQ25" s="131"/>
      <c r="CR25" s="131"/>
      <c r="CS25" s="131"/>
      <c r="CT25" s="131"/>
      <c r="CU25" s="131"/>
      <c r="CV25" s="131"/>
      <c r="CW25" s="131"/>
      <c r="CX25" s="131"/>
      <c r="CY25" s="131"/>
      <c r="CZ25" s="131"/>
      <c r="DA25" s="131"/>
    </row>
    <row r="26" spans="1:105" s="2" customFormat="1" x14ac:dyDescent="0.25">
      <c r="A26" s="1038">
        <f t="shared" si="0"/>
        <v>12</v>
      </c>
      <c r="B26" s="1368"/>
      <c r="C26" s="1041" t="s">
        <v>291</v>
      </c>
      <c r="D26" s="131"/>
      <c r="E26" s="131"/>
      <c r="F26" s="131"/>
      <c r="G26" s="131"/>
      <c r="H26" s="131">
        <v>1</v>
      </c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042">
        <f t="shared" si="1"/>
        <v>1</v>
      </c>
      <c r="AA26" s="131">
        <v>1</v>
      </c>
      <c r="AB26" s="131"/>
      <c r="AC26" s="131"/>
      <c r="AD26" s="131"/>
      <c r="AE26" s="131">
        <v>1</v>
      </c>
      <c r="AF26" s="131"/>
      <c r="AG26" s="131">
        <v>1</v>
      </c>
      <c r="AH26" s="131">
        <v>1</v>
      </c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043">
        <f t="shared" si="2"/>
        <v>4</v>
      </c>
      <c r="AT26" s="131"/>
      <c r="AU26" s="131"/>
      <c r="AV26" s="131"/>
      <c r="AW26" s="131"/>
      <c r="AX26" s="131"/>
      <c r="AY26" s="131"/>
      <c r="AZ26" s="131"/>
      <c r="BA26" s="131"/>
      <c r="BB26" s="131"/>
      <c r="BC26" s="131"/>
      <c r="BD26" s="131"/>
      <c r="BE26" s="131">
        <v>1</v>
      </c>
      <c r="BF26" s="131"/>
      <c r="BG26" s="131"/>
      <c r="BH26" s="131"/>
      <c r="BI26" s="131"/>
      <c r="BJ26" s="131"/>
      <c r="BK26" s="131"/>
      <c r="BL26" s="1044">
        <f t="shared" si="3"/>
        <v>1</v>
      </c>
      <c r="BM26" s="131"/>
      <c r="BN26" s="131"/>
      <c r="BO26" s="131"/>
      <c r="BP26" s="131"/>
      <c r="BQ26" s="131"/>
      <c r="BR26" s="131"/>
      <c r="BS26" s="131"/>
      <c r="BT26" s="131">
        <v>1</v>
      </c>
      <c r="BU26" s="131">
        <v>1</v>
      </c>
      <c r="BV26" s="131"/>
      <c r="BW26" s="131"/>
      <c r="BX26" s="131"/>
      <c r="BY26" s="131"/>
      <c r="BZ26" s="131"/>
      <c r="CA26" s="131"/>
      <c r="CB26" s="131"/>
      <c r="CC26" s="131"/>
      <c r="CD26" s="131"/>
      <c r="CE26" s="131"/>
      <c r="CF26" s="131"/>
      <c r="CG26" s="131">
        <v>1</v>
      </c>
      <c r="CH26" s="131"/>
      <c r="CI26" s="131"/>
      <c r="CJ26" s="1045">
        <f t="shared" si="4"/>
        <v>3</v>
      </c>
      <c r="CK26" s="131"/>
      <c r="CL26" s="131"/>
      <c r="CM26" s="131"/>
      <c r="CN26" s="131">
        <v>1</v>
      </c>
      <c r="CO26" s="131">
        <v>1</v>
      </c>
      <c r="CP26" s="131"/>
      <c r="CQ26" s="131"/>
      <c r="CR26" s="131"/>
      <c r="CS26" s="131"/>
      <c r="CT26" s="131"/>
      <c r="CU26" s="131"/>
      <c r="CV26" s="131">
        <v>1</v>
      </c>
      <c r="CW26" s="131"/>
      <c r="CX26" s="131"/>
      <c r="CY26" s="131"/>
      <c r="CZ26" s="131"/>
      <c r="DA26" s="131"/>
    </row>
    <row r="27" spans="1:105" s="2" customFormat="1" x14ac:dyDescent="0.25">
      <c r="A27" s="1038">
        <f t="shared" si="0"/>
        <v>12</v>
      </c>
      <c r="B27" s="1368"/>
      <c r="C27" s="1041" t="s">
        <v>293</v>
      </c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>
        <v>1</v>
      </c>
      <c r="U27" s="131"/>
      <c r="V27" s="131"/>
      <c r="W27" s="131"/>
      <c r="X27" s="131"/>
      <c r="Y27" s="131"/>
      <c r="Z27" s="1042">
        <f t="shared" si="1"/>
        <v>1</v>
      </c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1043">
        <f t="shared" si="2"/>
        <v>0</v>
      </c>
      <c r="AT27" s="131"/>
      <c r="AU27" s="131"/>
      <c r="AV27" s="131">
        <v>1</v>
      </c>
      <c r="AW27" s="131">
        <v>1</v>
      </c>
      <c r="AX27" s="131">
        <v>1</v>
      </c>
      <c r="AY27" s="131"/>
      <c r="AZ27" s="131"/>
      <c r="BA27" s="131"/>
      <c r="BB27" s="131"/>
      <c r="BC27" s="131"/>
      <c r="BD27" s="131"/>
      <c r="BE27" s="131">
        <v>1</v>
      </c>
      <c r="BF27" s="131"/>
      <c r="BG27" s="131"/>
      <c r="BH27" s="131"/>
      <c r="BI27" s="131"/>
      <c r="BJ27" s="131"/>
      <c r="BK27" s="131"/>
      <c r="BL27" s="1044">
        <f t="shared" si="3"/>
        <v>4</v>
      </c>
      <c r="BM27" s="131">
        <v>1</v>
      </c>
      <c r="BN27" s="131"/>
      <c r="BO27" s="131"/>
      <c r="BP27" s="131"/>
      <c r="BQ27" s="131"/>
      <c r="BR27" s="131">
        <v>1</v>
      </c>
      <c r="BS27" s="131">
        <v>1</v>
      </c>
      <c r="BT27" s="131"/>
      <c r="BU27" s="131"/>
      <c r="BV27" s="131">
        <v>1</v>
      </c>
      <c r="BW27" s="131"/>
      <c r="BX27" s="131"/>
      <c r="BY27" s="131"/>
      <c r="BZ27" s="131"/>
      <c r="CA27" s="131"/>
      <c r="CB27" s="131"/>
      <c r="CC27" s="131"/>
      <c r="CD27" s="131"/>
      <c r="CE27" s="131"/>
      <c r="CF27" s="131"/>
      <c r="CG27" s="131">
        <v>1</v>
      </c>
      <c r="CH27" s="131"/>
      <c r="CI27" s="131"/>
      <c r="CJ27" s="1045">
        <f t="shared" si="4"/>
        <v>5</v>
      </c>
      <c r="CK27" s="131"/>
      <c r="CL27" s="131"/>
      <c r="CM27" s="131"/>
      <c r="CN27" s="131"/>
      <c r="CO27" s="131"/>
      <c r="CP27" s="131"/>
      <c r="CQ27" s="131"/>
      <c r="CR27" s="131"/>
      <c r="CS27" s="131"/>
      <c r="CT27" s="131"/>
      <c r="CU27" s="131"/>
      <c r="CV27" s="131">
        <v>1</v>
      </c>
      <c r="CW27" s="131"/>
      <c r="CX27" s="131">
        <v>1</v>
      </c>
      <c r="CY27" s="131"/>
      <c r="CZ27" s="131"/>
      <c r="DA27" s="131"/>
    </row>
    <row r="28" spans="1:105" s="2" customFormat="1" x14ac:dyDescent="0.25">
      <c r="A28" s="1038">
        <f t="shared" si="0"/>
        <v>11</v>
      </c>
      <c r="B28" s="1368"/>
      <c r="C28" s="1041" t="s">
        <v>295</v>
      </c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042">
        <f t="shared" si="1"/>
        <v>0</v>
      </c>
      <c r="AA28" s="131">
        <v>1</v>
      </c>
      <c r="AB28" s="131"/>
      <c r="AC28" s="131"/>
      <c r="AD28" s="131"/>
      <c r="AE28" s="131">
        <v>1</v>
      </c>
      <c r="AF28" s="131"/>
      <c r="AG28" s="131">
        <v>1</v>
      </c>
      <c r="AH28" s="131"/>
      <c r="AI28" s="131"/>
      <c r="AJ28" s="131"/>
      <c r="AK28" s="131"/>
      <c r="AL28" s="131"/>
      <c r="AM28" s="131"/>
      <c r="AN28" s="131"/>
      <c r="AO28" s="131"/>
      <c r="AP28" s="131"/>
      <c r="AQ28" s="131"/>
      <c r="AR28" s="131"/>
      <c r="AS28" s="1043">
        <f t="shared" si="2"/>
        <v>3</v>
      </c>
      <c r="AT28" s="131"/>
      <c r="AU28" s="131"/>
      <c r="AV28" s="131"/>
      <c r="AW28" s="131">
        <v>1</v>
      </c>
      <c r="AX28" s="131">
        <v>1</v>
      </c>
      <c r="AY28" s="131"/>
      <c r="AZ28" s="131"/>
      <c r="BA28" s="131"/>
      <c r="BB28" s="131"/>
      <c r="BC28" s="131"/>
      <c r="BD28" s="131"/>
      <c r="BE28" s="131"/>
      <c r="BF28" s="131"/>
      <c r="BG28" s="131"/>
      <c r="BH28" s="131"/>
      <c r="BI28" s="131"/>
      <c r="BJ28" s="131"/>
      <c r="BK28" s="131"/>
      <c r="BL28" s="1044">
        <f t="shared" si="3"/>
        <v>2</v>
      </c>
      <c r="BM28" s="131"/>
      <c r="BN28" s="131"/>
      <c r="BO28" s="131"/>
      <c r="BP28" s="131"/>
      <c r="BQ28" s="131"/>
      <c r="BR28" s="131">
        <v>1</v>
      </c>
      <c r="BS28" s="131">
        <v>1</v>
      </c>
      <c r="BT28" s="131"/>
      <c r="BU28" s="131"/>
      <c r="BV28" s="131">
        <v>1</v>
      </c>
      <c r="BW28" s="131"/>
      <c r="BX28" s="131">
        <v>1</v>
      </c>
      <c r="BY28" s="131"/>
      <c r="BZ28" s="131"/>
      <c r="CA28" s="131">
        <v>1</v>
      </c>
      <c r="CB28" s="131">
        <v>1</v>
      </c>
      <c r="CC28" s="131"/>
      <c r="CD28" s="131"/>
      <c r="CE28" s="131"/>
      <c r="CF28" s="131"/>
      <c r="CG28" s="131"/>
      <c r="CH28" s="131"/>
      <c r="CI28" s="131"/>
      <c r="CJ28" s="1045">
        <f t="shared" si="4"/>
        <v>6</v>
      </c>
      <c r="CK28" s="131"/>
      <c r="CL28" s="131"/>
      <c r="CM28" s="131"/>
      <c r="CN28" s="131"/>
      <c r="CO28" s="131"/>
      <c r="CP28" s="131"/>
      <c r="CQ28" s="131"/>
      <c r="CR28" s="131"/>
      <c r="CS28" s="131"/>
      <c r="CT28" s="131"/>
      <c r="CU28" s="131"/>
      <c r="CV28" s="131"/>
      <c r="CW28" s="131"/>
      <c r="CX28" s="131"/>
      <c r="CY28" s="131"/>
      <c r="CZ28" s="131"/>
      <c r="DA28" s="131"/>
    </row>
    <row r="29" spans="1:105" s="2" customFormat="1" x14ac:dyDescent="0.25">
      <c r="A29" s="1038">
        <f t="shared" si="0"/>
        <v>9</v>
      </c>
      <c r="B29" s="1368"/>
      <c r="C29" s="1041" t="s">
        <v>297</v>
      </c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042">
        <f t="shared" si="1"/>
        <v>0</v>
      </c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043">
        <f t="shared" si="2"/>
        <v>0</v>
      </c>
      <c r="AT29" s="131"/>
      <c r="AU29" s="131"/>
      <c r="AV29" s="131"/>
      <c r="AW29" s="131">
        <v>1</v>
      </c>
      <c r="AX29" s="131">
        <v>1</v>
      </c>
      <c r="AY29" s="131"/>
      <c r="AZ29" s="131"/>
      <c r="BA29" s="131"/>
      <c r="BB29" s="131"/>
      <c r="BC29" s="131"/>
      <c r="BD29" s="131"/>
      <c r="BE29" s="131">
        <v>1</v>
      </c>
      <c r="BF29" s="131"/>
      <c r="BG29" s="131"/>
      <c r="BH29" s="131"/>
      <c r="BI29" s="131"/>
      <c r="BJ29" s="131"/>
      <c r="BK29" s="131"/>
      <c r="BL29" s="1044">
        <f t="shared" si="3"/>
        <v>3</v>
      </c>
      <c r="BM29" s="131"/>
      <c r="BN29" s="131"/>
      <c r="BO29" s="131"/>
      <c r="BP29" s="131"/>
      <c r="BQ29" s="131"/>
      <c r="BR29" s="131">
        <v>1</v>
      </c>
      <c r="BS29" s="131"/>
      <c r="BT29" s="131"/>
      <c r="BU29" s="131"/>
      <c r="BV29" s="131"/>
      <c r="BW29" s="131"/>
      <c r="BX29" s="131"/>
      <c r="BY29" s="131"/>
      <c r="BZ29" s="131"/>
      <c r="CA29" s="131"/>
      <c r="CB29" s="131"/>
      <c r="CC29" s="131"/>
      <c r="CD29" s="131">
        <v>1</v>
      </c>
      <c r="CE29" s="131"/>
      <c r="CF29" s="131"/>
      <c r="CG29" s="131">
        <v>1</v>
      </c>
      <c r="CH29" s="131"/>
      <c r="CI29" s="131"/>
      <c r="CJ29" s="1045">
        <f t="shared" si="4"/>
        <v>3</v>
      </c>
      <c r="CK29" s="131">
        <v>1</v>
      </c>
      <c r="CL29" s="131"/>
      <c r="CM29" s="131"/>
      <c r="CN29" s="131"/>
      <c r="CO29" s="131"/>
      <c r="CP29" s="131"/>
      <c r="CQ29" s="131"/>
      <c r="CR29" s="131"/>
      <c r="CS29" s="131"/>
      <c r="CT29" s="131"/>
      <c r="CU29" s="131"/>
      <c r="CV29" s="131">
        <v>1</v>
      </c>
      <c r="CW29" s="131"/>
      <c r="CX29" s="131"/>
      <c r="CY29" s="131"/>
      <c r="CZ29" s="131"/>
      <c r="DA29" s="131">
        <v>1</v>
      </c>
    </row>
    <row r="30" spans="1:105" s="2" customFormat="1" x14ac:dyDescent="0.25">
      <c r="A30" s="1038">
        <f t="shared" si="0"/>
        <v>7</v>
      </c>
      <c r="B30" s="1368"/>
      <c r="C30" s="1041" t="s">
        <v>299</v>
      </c>
      <c r="D30" s="131"/>
      <c r="E30" s="131"/>
      <c r="F30" s="131"/>
      <c r="G30" s="131"/>
      <c r="H30" s="131">
        <v>1</v>
      </c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>
        <v>1</v>
      </c>
      <c r="Y30" s="131">
        <v>1</v>
      </c>
      <c r="Z30" s="1042">
        <f t="shared" si="1"/>
        <v>3</v>
      </c>
      <c r="AA30" s="131"/>
      <c r="AB30" s="131"/>
      <c r="AC30" s="131"/>
      <c r="AD30" s="131"/>
      <c r="AE30" s="131"/>
      <c r="AF30" s="131"/>
      <c r="AG30" s="131"/>
      <c r="AH30" s="131"/>
      <c r="AI30" s="131"/>
      <c r="AJ30" s="131"/>
      <c r="AK30" s="131"/>
      <c r="AL30" s="131"/>
      <c r="AM30" s="131"/>
      <c r="AN30" s="131"/>
      <c r="AO30" s="131"/>
      <c r="AP30" s="131"/>
      <c r="AQ30" s="131"/>
      <c r="AR30" s="131"/>
      <c r="AS30" s="1043">
        <f t="shared" si="2"/>
        <v>0</v>
      </c>
      <c r="AT30" s="131"/>
      <c r="AU30" s="131"/>
      <c r="AV30" s="131"/>
      <c r="AW30" s="131"/>
      <c r="AX30" s="131"/>
      <c r="AY30" s="131"/>
      <c r="AZ30" s="131"/>
      <c r="BA30" s="131"/>
      <c r="BB30" s="131"/>
      <c r="BC30" s="131"/>
      <c r="BD30" s="131"/>
      <c r="BE30" s="131"/>
      <c r="BF30" s="131"/>
      <c r="BG30" s="131"/>
      <c r="BH30" s="131"/>
      <c r="BI30" s="131"/>
      <c r="BJ30" s="131"/>
      <c r="BK30" s="131"/>
      <c r="BL30" s="1044">
        <f t="shared" si="3"/>
        <v>0</v>
      </c>
      <c r="BM30" s="131"/>
      <c r="BN30" s="131"/>
      <c r="BO30" s="131"/>
      <c r="BP30" s="131"/>
      <c r="BQ30" s="131"/>
      <c r="BR30" s="131"/>
      <c r="BS30" s="131"/>
      <c r="BT30" s="131">
        <v>1</v>
      </c>
      <c r="BU30" s="131">
        <v>1</v>
      </c>
      <c r="BV30" s="131"/>
      <c r="BW30" s="131"/>
      <c r="BX30" s="131"/>
      <c r="BY30" s="131"/>
      <c r="BZ30" s="131"/>
      <c r="CA30" s="131"/>
      <c r="CB30" s="131"/>
      <c r="CC30" s="131"/>
      <c r="CD30" s="131"/>
      <c r="CE30" s="131"/>
      <c r="CF30" s="131"/>
      <c r="CG30" s="131"/>
      <c r="CH30" s="131"/>
      <c r="CI30" s="131"/>
      <c r="CJ30" s="1045">
        <f t="shared" si="4"/>
        <v>2</v>
      </c>
      <c r="CK30" s="131"/>
      <c r="CL30" s="131"/>
      <c r="CM30" s="131"/>
      <c r="CN30" s="131">
        <v>1</v>
      </c>
      <c r="CO30" s="131">
        <v>1</v>
      </c>
      <c r="CP30" s="131"/>
      <c r="CQ30" s="131"/>
      <c r="CR30" s="131"/>
      <c r="CS30" s="131"/>
      <c r="CT30" s="131"/>
      <c r="CU30" s="131"/>
      <c r="CV30" s="131"/>
      <c r="CW30" s="131"/>
      <c r="CX30" s="131"/>
      <c r="CY30" s="131"/>
      <c r="CZ30" s="131"/>
      <c r="DA30" s="131"/>
    </row>
    <row r="31" spans="1:105" s="2" customFormat="1" x14ac:dyDescent="0.25">
      <c r="A31" s="1064">
        <f t="shared" si="0"/>
        <v>17</v>
      </c>
      <c r="B31" s="1368"/>
      <c r="C31" s="1041" t="s">
        <v>301</v>
      </c>
      <c r="D31" s="131"/>
      <c r="E31" s="131">
        <v>1</v>
      </c>
      <c r="F31" s="131"/>
      <c r="G31" s="131"/>
      <c r="H31" s="131">
        <v>1</v>
      </c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042">
        <f t="shared" si="1"/>
        <v>2</v>
      </c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>
        <v>1</v>
      </c>
      <c r="AL31" s="131">
        <v>1</v>
      </c>
      <c r="AM31" s="131">
        <v>1</v>
      </c>
      <c r="AN31" s="131">
        <v>1</v>
      </c>
      <c r="AO31" s="131">
        <v>1</v>
      </c>
      <c r="AP31" s="131"/>
      <c r="AQ31" s="131">
        <v>1</v>
      </c>
      <c r="AR31" s="131"/>
      <c r="AS31" s="1043">
        <f t="shared" si="2"/>
        <v>6</v>
      </c>
      <c r="AT31" s="131">
        <v>1</v>
      </c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  <c r="BE31" s="131"/>
      <c r="BF31" s="131"/>
      <c r="BG31" s="131">
        <v>1</v>
      </c>
      <c r="BH31" s="131"/>
      <c r="BI31" s="131">
        <v>1</v>
      </c>
      <c r="BJ31" s="131">
        <v>1</v>
      </c>
      <c r="BK31" s="131"/>
      <c r="BL31" s="1044">
        <f t="shared" si="3"/>
        <v>4</v>
      </c>
      <c r="BM31" s="131"/>
      <c r="BN31" s="131"/>
      <c r="BO31" s="131"/>
      <c r="BP31" s="131"/>
      <c r="BQ31" s="131"/>
      <c r="BR31" s="131"/>
      <c r="BS31" s="131"/>
      <c r="BT31" s="131">
        <v>1</v>
      </c>
      <c r="BU31" s="131">
        <v>1</v>
      </c>
      <c r="BV31" s="131"/>
      <c r="BW31" s="131"/>
      <c r="BX31" s="131"/>
      <c r="BY31" s="131"/>
      <c r="BZ31" s="131"/>
      <c r="CA31" s="131"/>
      <c r="CB31" s="131"/>
      <c r="CC31" s="131"/>
      <c r="CD31" s="131"/>
      <c r="CE31" s="131"/>
      <c r="CF31" s="131"/>
      <c r="CG31" s="131"/>
      <c r="CH31" s="131">
        <v>1</v>
      </c>
      <c r="CI31" s="131"/>
      <c r="CJ31" s="1045">
        <f t="shared" si="4"/>
        <v>3</v>
      </c>
      <c r="CK31" s="131"/>
      <c r="CL31" s="131"/>
      <c r="CM31" s="131"/>
      <c r="CN31" s="131">
        <v>1</v>
      </c>
      <c r="CO31" s="131">
        <v>1</v>
      </c>
      <c r="CP31" s="131"/>
      <c r="CQ31" s="131"/>
      <c r="CR31" s="131"/>
      <c r="CS31" s="131"/>
      <c r="CT31" s="131"/>
      <c r="CU31" s="131"/>
      <c r="CV31" s="131"/>
      <c r="CW31" s="131"/>
      <c r="CX31" s="131"/>
      <c r="CY31" s="131"/>
      <c r="CZ31" s="131"/>
      <c r="DA31" s="131"/>
    </row>
    <row r="32" spans="1:105" s="2" customFormat="1" x14ac:dyDescent="0.25">
      <c r="A32" s="1038">
        <f t="shared" si="0"/>
        <v>10</v>
      </c>
      <c r="B32" s="1368"/>
      <c r="C32" s="1041" t="s">
        <v>303</v>
      </c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042">
        <f t="shared" si="1"/>
        <v>0</v>
      </c>
      <c r="AA32" s="131"/>
      <c r="AB32" s="131"/>
      <c r="AC32" s="131"/>
      <c r="AD32" s="131"/>
      <c r="AE32" s="131"/>
      <c r="AF32" s="131"/>
      <c r="AG32" s="131"/>
      <c r="AH32" s="131"/>
      <c r="AI32" s="131"/>
      <c r="AJ32" s="131"/>
      <c r="AK32" s="131"/>
      <c r="AL32" s="131"/>
      <c r="AM32" s="131"/>
      <c r="AN32" s="131"/>
      <c r="AO32" s="131"/>
      <c r="AP32" s="131"/>
      <c r="AQ32" s="131"/>
      <c r="AR32" s="131"/>
      <c r="AS32" s="1043">
        <f t="shared" si="2"/>
        <v>0</v>
      </c>
      <c r="AT32" s="131"/>
      <c r="AU32" s="131"/>
      <c r="AV32" s="131"/>
      <c r="AW32" s="131"/>
      <c r="AX32" s="131"/>
      <c r="AY32" s="131"/>
      <c r="AZ32" s="131"/>
      <c r="BA32" s="131"/>
      <c r="BB32" s="131"/>
      <c r="BC32" s="131"/>
      <c r="BD32" s="131"/>
      <c r="BE32" s="131"/>
      <c r="BF32" s="131"/>
      <c r="BG32" s="131"/>
      <c r="BH32" s="131"/>
      <c r="BI32" s="131"/>
      <c r="BJ32" s="131"/>
      <c r="BK32" s="131"/>
      <c r="BL32" s="1044">
        <f t="shared" si="3"/>
        <v>0</v>
      </c>
      <c r="BM32" s="131"/>
      <c r="BN32" s="131"/>
      <c r="BO32" s="131"/>
      <c r="BP32" s="131"/>
      <c r="BQ32" s="131"/>
      <c r="BR32" s="131">
        <v>1</v>
      </c>
      <c r="BS32" s="131">
        <v>1</v>
      </c>
      <c r="BT32" s="131"/>
      <c r="BU32" s="131"/>
      <c r="BV32" s="131">
        <v>1</v>
      </c>
      <c r="BW32" s="131"/>
      <c r="BX32" s="131"/>
      <c r="BY32" s="131">
        <v>1</v>
      </c>
      <c r="BZ32" s="131"/>
      <c r="CA32" s="131">
        <v>1</v>
      </c>
      <c r="CB32" s="131">
        <v>1</v>
      </c>
      <c r="CC32" s="131"/>
      <c r="CD32" s="131"/>
      <c r="CE32" s="131"/>
      <c r="CF32" s="131"/>
      <c r="CG32" s="131"/>
      <c r="CH32" s="131"/>
      <c r="CI32" s="131"/>
      <c r="CJ32" s="1045">
        <f t="shared" si="4"/>
        <v>6</v>
      </c>
      <c r="CK32" s="131"/>
      <c r="CL32" s="131"/>
      <c r="CM32" s="131"/>
      <c r="CN32" s="131"/>
      <c r="CO32" s="131"/>
      <c r="CP32" s="131">
        <v>1</v>
      </c>
      <c r="CQ32" s="131"/>
      <c r="CR32" s="131"/>
      <c r="CS32" s="131">
        <v>1</v>
      </c>
      <c r="CT32" s="131">
        <v>1</v>
      </c>
      <c r="CU32" s="131">
        <v>1</v>
      </c>
      <c r="CV32" s="131"/>
      <c r="CW32" s="131"/>
      <c r="CX32" s="131"/>
      <c r="CY32" s="131"/>
      <c r="CZ32" s="131"/>
      <c r="DA32" s="131"/>
    </row>
    <row r="33" spans="1:105" s="2" customFormat="1" x14ac:dyDescent="0.25">
      <c r="A33" s="1038">
        <f t="shared" si="0"/>
        <v>10</v>
      </c>
      <c r="B33" s="1368"/>
      <c r="C33" s="1041" t="s">
        <v>305</v>
      </c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042">
        <f t="shared" si="1"/>
        <v>0</v>
      </c>
      <c r="AA33" s="131"/>
      <c r="AB33" s="131"/>
      <c r="AC33" s="131"/>
      <c r="AD33" s="131"/>
      <c r="AE33" s="131"/>
      <c r="AF33" s="131"/>
      <c r="AG33" s="131"/>
      <c r="AH33" s="131">
        <v>1</v>
      </c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043">
        <f t="shared" si="2"/>
        <v>1</v>
      </c>
      <c r="AT33" s="131"/>
      <c r="AU33" s="131"/>
      <c r="AV33" s="131"/>
      <c r="AW33" s="131">
        <v>1</v>
      </c>
      <c r="AX33" s="131">
        <v>1</v>
      </c>
      <c r="AY33" s="131">
        <v>1</v>
      </c>
      <c r="AZ33" s="131"/>
      <c r="BA33" s="131"/>
      <c r="BB33" s="131"/>
      <c r="BC33" s="131"/>
      <c r="BD33" s="131"/>
      <c r="BE33" s="131">
        <v>1</v>
      </c>
      <c r="BF33" s="131"/>
      <c r="BG33" s="131"/>
      <c r="BH33" s="131"/>
      <c r="BI33" s="131"/>
      <c r="BJ33" s="131"/>
      <c r="BK33" s="131"/>
      <c r="BL33" s="1044">
        <f t="shared" si="3"/>
        <v>4</v>
      </c>
      <c r="BM33" s="131"/>
      <c r="BN33" s="131"/>
      <c r="BO33" s="131"/>
      <c r="BP33" s="131"/>
      <c r="BQ33" s="131"/>
      <c r="BR33" s="131">
        <v>1</v>
      </c>
      <c r="BS33" s="131">
        <v>1</v>
      </c>
      <c r="BT33" s="131">
        <v>1</v>
      </c>
      <c r="BU33" s="131">
        <v>1</v>
      </c>
      <c r="BV33" s="131"/>
      <c r="BW33" s="131"/>
      <c r="BX33" s="131"/>
      <c r="BY33" s="131"/>
      <c r="BZ33" s="131"/>
      <c r="CA33" s="131"/>
      <c r="CB33" s="131"/>
      <c r="CC33" s="131"/>
      <c r="CD33" s="131"/>
      <c r="CE33" s="131"/>
      <c r="CF33" s="131"/>
      <c r="CG33" s="131">
        <v>1</v>
      </c>
      <c r="CH33" s="131"/>
      <c r="CI33" s="131"/>
      <c r="CJ33" s="1045">
        <f t="shared" si="4"/>
        <v>5</v>
      </c>
      <c r="CK33" s="131"/>
      <c r="CL33" s="131"/>
      <c r="CM33" s="131"/>
      <c r="CN33" s="131"/>
      <c r="CO33" s="131"/>
      <c r="CP33" s="131"/>
      <c r="CQ33" s="131"/>
      <c r="CR33" s="131"/>
      <c r="CS33" s="131"/>
      <c r="CT33" s="131"/>
      <c r="CU33" s="131"/>
      <c r="CV33" s="131"/>
      <c r="CW33" s="131"/>
      <c r="CX33" s="131"/>
      <c r="CY33" s="131"/>
      <c r="CZ33" s="131"/>
      <c r="DA33" s="131"/>
    </row>
    <row r="34" spans="1:105" s="2" customFormat="1" x14ac:dyDescent="0.25">
      <c r="A34" s="1038">
        <f t="shared" ref="A34:A51" si="5">SUM(D34:Y34,AA34:AR34,AT34:BK34,BM34:CI34,CK34:DA34)</f>
        <v>16</v>
      </c>
      <c r="B34" s="1368"/>
      <c r="C34" s="1041" t="s">
        <v>307</v>
      </c>
      <c r="D34" s="131"/>
      <c r="E34" s="131"/>
      <c r="F34" s="131"/>
      <c r="G34" s="131"/>
      <c r="H34" s="131"/>
      <c r="I34" s="131"/>
      <c r="J34" s="131"/>
      <c r="K34" s="131"/>
      <c r="L34" s="131">
        <v>1</v>
      </c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042">
        <f t="shared" ref="Z34:Z50" si="6">SUM(D34:Y34)</f>
        <v>1</v>
      </c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043">
        <f t="shared" ref="AS34:AS50" si="7">SUM(AA34:AR34)</f>
        <v>0</v>
      </c>
      <c r="AT34" s="131"/>
      <c r="AU34" s="131"/>
      <c r="AV34" s="131">
        <v>1</v>
      </c>
      <c r="AW34" s="131">
        <v>1</v>
      </c>
      <c r="AX34" s="131">
        <v>1</v>
      </c>
      <c r="AY34" s="131"/>
      <c r="AZ34" s="131"/>
      <c r="BA34" s="131"/>
      <c r="BB34" s="131"/>
      <c r="BC34" s="131"/>
      <c r="BD34" s="131"/>
      <c r="BE34" s="131"/>
      <c r="BF34" s="131">
        <v>1</v>
      </c>
      <c r="BG34" s="131"/>
      <c r="BH34" s="131"/>
      <c r="BI34" s="131"/>
      <c r="BJ34" s="131"/>
      <c r="BK34" s="131"/>
      <c r="BL34" s="1044">
        <f t="shared" ref="BL34:BL50" si="8">SUM(AT34:BK34)</f>
        <v>4</v>
      </c>
      <c r="BM34" s="131"/>
      <c r="BN34" s="131"/>
      <c r="BO34" s="131"/>
      <c r="BP34" s="131"/>
      <c r="BQ34" s="131"/>
      <c r="BR34" s="131">
        <v>1</v>
      </c>
      <c r="BS34" s="131">
        <v>1</v>
      </c>
      <c r="BT34" s="131"/>
      <c r="BU34" s="131"/>
      <c r="BV34" s="131">
        <v>1</v>
      </c>
      <c r="BW34" s="131">
        <v>1</v>
      </c>
      <c r="BX34" s="131"/>
      <c r="BY34" s="131"/>
      <c r="BZ34" s="131"/>
      <c r="CA34" s="131"/>
      <c r="CB34" s="131"/>
      <c r="CC34" s="131"/>
      <c r="CD34" s="131"/>
      <c r="CE34" s="131"/>
      <c r="CF34" s="131">
        <v>1</v>
      </c>
      <c r="CG34" s="131"/>
      <c r="CH34" s="131"/>
      <c r="CI34" s="131">
        <v>1</v>
      </c>
      <c r="CJ34" s="1045">
        <f t="shared" ref="CJ34:CJ50" si="9">SUM(BM34:CI34)</f>
        <v>6</v>
      </c>
      <c r="CK34" s="131"/>
      <c r="CL34" s="131"/>
      <c r="CM34" s="131">
        <v>1</v>
      </c>
      <c r="CN34" s="131"/>
      <c r="CO34" s="131"/>
      <c r="CP34" s="131"/>
      <c r="CQ34" s="131">
        <v>1</v>
      </c>
      <c r="CR34" s="131"/>
      <c r="CS34" s="131"/>
      <c r="CT34" s="131"/>
      <c r="CU34" s="131"/>
      <c r="CV34" s="131"/>
      <c r="CW34" s="131">
        <v>1</v>
      </c>
      <c r="CX34" s="131"/>
      <c r="CY34" s="131">
        <v>1</v>
      </c>
      <c r="CZ34" s="131">
        <v>1</v>
      </c>
      <c r="DA34" s="131"/>
    </row>
    <row r="35" spans="1:105" s="2" customFormat="1" x14ac:dyDescent="0.25">
      <c r="A35" s="1064">
        <f t="shared" si="5"/>
        <v>16</v>
      </c>
      <c r="B35" s="1368"/>
      <c r="C35" s="1041" t="s">
        <v>309</v>
      </c>
      <c r="D35" s="131">
        <v>1</v>
      </c>
      <c r="E35" s="131"/>
      <c r="F35" s="131"/>
      <c r="G35" s="131">
        <v>1</v>
      </c>
      <c r="H35" s="131"/>
      <c r="I35" s="131"/>
      <c r="J35" s="131"/>
      <c r="K35" s="131">
        <v>1</v>
      </c>
      <c r="L35" s="131">
        <v>1</v>
      </c>
      <c r="M35" s="131"/>
      <c r="N35" s="131"/>
      <c r="O35" s="131"/>
      <c r="P35" s="131"/>
      <c r="Q35" s="131"/>
      <c r="R35" s="131"/>
      <c r="S35" s="131"/>
      <c r="T35" s="131"/>
      <c r="U35" s="131">
        <v>1</v>
      </c>
      <c r="V35" s="131"/>
      <c r="W35" s="131"/>
      <c r="X35" s="131"/>
      <c r="Y35" s="131"/>
      <c r="Z35" s="1042">
        <f t="shared" si="6"/>
        <v>5</v>
      </c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K35" s="131"/>
      <c r="AL35" s="131"/>
      <c r="AM35" s="131"/>
      <c r="AN35" s="131"/>
      <c r="AO35" s="131"/>
      <c r="AP35" s="131"/>
      <c r="AQ35" s="131"/>
      <c r="AR35" s="131"/>
      <c r="AS35" s="1043">
        <f t="shared" si="7"/>
        <v>0</v>
      </c>
      <c r="AT35" s="131"/>
      <c r="AU35" s="131">
        <v>1</v>
      </c>
      <c r="AV35" s="131">
        <v>1</v>
      </c>
      <c r="AW35" s="131"/>
      <c r="AX35" s="131"/>
      <c r="AY35" s="131"/>
      <c r="AZ35" s="131"/>
      <c r="BA35" s="131"/>
      <c r="BB35" s="131"/>
      <c r="BC35" s="131"/>
      <c r="BD35" s="131"/>
      <c r="BE35" s="131"/>
      <c r="BF35" s="131"/>
      <c r="BG35" s="131"/>
      <c r="BH35" s="131"/>
      <c r="BI35" s="131"/>
      <c r="BJ35" s="131"/>
      <c r="BK35" s="131"/>
      <c r="BL35" s="1044">
        <f t="shared" si="8"/>
        <v>2</v>
      </c>
      <c r="BM35" s="131">
        <v>1</v>
      </c>
      <c r="BN35" s="131">
        <v>1</v>
      </c>
      <c r="BO35" s="131"/>
      <c r="BP35" s="131"/>
      <c r="BQ35" s="131"/>
      <c r="BR35" s="131">
        <v>1</v>
      </c>
      <c r="BS35" s="131">
        <v>1</v>
      </c>
      <c r="BT35" s="131"/>
      <c r="BU35" s="131"/>
      <c r="BV35" s="131"/>
      <c r="BW35" s="131"/>
      <c r="BX35" s="131"/>
      <c r="BY35" s="131"/>
      <c r="BZ35" s="131"/>
      <c r="CA35" s="131"/>
      <c r="CB35" s="131"/>
      <c r="CC35" s="131"/>
      <c r="CD35" s="131"/>
      <c r="CE35" s="131"/>
      <c r="CF35" s="131">
        <v>1</v>
      </c>
      <c r="CG35" s="131"/>
      <c r="CH35" s="131"/>
      <c r="CI35" s="131"/>
      <c r="CJ35" s="1045">
        <f t="shared" si="9"/>
        <v>5</v>
      </c>
      <c r="CK35" s="131"/>
      <c r="CL35" s="131"/>
      <c r="CM35" s="131"/>
      <c r="CN35" s="131"/>
      <c r="CO35" s="131"/>
      <c r="CP35" s="131"/>
      <c r="CQ35" s="131">
        <v>1</v>
      </c>
      <c r="CR35" s="131"/>
      <c r="CS35" s="131"/>
      <c r="CT35" s="131"/>
      <c r="CU35" s="131"/>
      <c r="CV35" s="131"/>
      <c r="CW35" s="131">
        <v>1</v>
      </c>
      <c r="CX35" s="131"/>
      <c r="CY35" s="131">
        <v>1</v>
      </c>
      <c r="CZ35" s="131">
        <v>1</v>
      </c>
      <c r="DA35" s="131"/>
    </row>
    <row r="36" spans="1:105" s="2" customFormat="1" x14ac:dyDescent="0.25">
      <c r="A36" s="1038">
        <f t="shared" si="5"/>
        <v>12</v>
      </c>
      <c r="B36" s="1368"/>
      <c r="C36" s="1041" t="s">
        <v>311</v>
      </c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042">
        <f t="shared" si="6"/>
        <v>0</v>
      </c>
      <c r="AA36" s="131"/>
      <c r="AB36" s="131"/>
      <c r="AC36" s="131"/>
      <c r="AD36" s="131"/>
      <c r="AE36" s="131"/>
      <c r="AF36" s="131"/>
      <c r="AG36" s="131"/>
      <c r="AH36" s="131"/>
      <c r="AI36" s="131"/>
      <c r="AJ36" s="131"/>
      <c r="AK36" s="131"/>
      <c r="AL36" s="131"/>
      <c r="AM36" s="131"/>
      <c r="AN36" s="131"/>
      <c r="AO36" s="131"/>
      <c r="AP36" s="131"/>
      <c r="AQ36" s="131"/>
      <c r="AR36" s="131"/>
      <c r="AS36" s="1043">
        <f t="shared" si="7"/>
        <v>0</v>
      </c>
      <c r="AT36" s="131"/>
      <c r="AU36" s="131"/>
      <c r="AV36" s="131">
        <v>1</v>
      </c>
      <c r="AW36" s="131"/>
      <c r="AX36" s="131"/>
      <c r="AY36" s="131"/>
      <c r="AZ36" s="131"/>
      <c r="BA36" s="131"/>
      <c r="BB36" s="131"/>
      <c r="BC36" s="131"/>
      <c r="BD36" s="131"/>
      <c r="BE36" s="131"/>
      <c r="BF36" s="131"/>
      <c r="BG36" s="131"/>
      <c r="BH36" s="131"/>
      <c r="BI36" s="131"/>
      <c r="BJ36" s="131"/>
      <c r="BK36" s="131"/>
      <c r="BL36" s="1044">
        <f t="shared" si="8"/>
        <v>1</v>
      </c>
      <c r="BM36" s="131"/>
      <c r="BN36" s="131">
        <v>1</v>
      </c>
      <c r="BO36" s="131"/>
      <c r="BP36" s="131"/>
      <c r="BQ36" s="131"/>
      <c r="BR36" s="131">
        <v>1</v>
      </c>
      <c r="BS36" s="131">
        <v>1</v>
      </c>
      <c r="BT36" s="131"/>
      <c r="BU36" s="131"/>
      <c r="BV36" s="131">
        <v>1</v>
      </c>
      <c r="BW36" s="131">
        <v>1</v>
      </c>
      <c r="BX36" s="131"/>
      <c r="BY36" s="131"/>
      <c r="BZ36" s="131">
        <v>1</v>
      </c>
      <c r="CA36" s="131">
        <v>1</v>
      </c>
      <c r="CB36" s="131">
        <v>1</v>
      </c>
      <c r="CC36" s="131"/>
      <c r="CD36" s="131"/>
      <c r="CE36" s="131"/>
      <c r="CF36" s="131"/>
      <c r="CG36" s="131"/>
      <c r="CH36" s="131"/>
      <c r="CI36" s="131">
        <v>1</v>
      </c>
      <c r="CJ36" s="1045">
        <f t="shared" si="9"/>
        <v>9</v>
      </c>
      <c r="CK36" s="131"/>
      <c r="CL36" s="131"/>
      <c r="CM36" s="131"/>
      <c r="CN36" s="131"/>
      <c r="CO36" s="131"/>
      <c r="CP36" s="131"/>
      <c r="CQ36" s="131">
        <v>1</v>
      </c>
      <c r="CR36" s="131"/>
      <c r="CS36" s="131"/>
      <c r="CT36" s="131"/>
      <c r="CU36" s="131"/>
      <c r="CV36" s="131"/>
      <c r="CW36" s="131">
        <v>1</v>
      </c>
      <c r="CX36" s="131"/>
      <c r="CY36" s="131"/>
      <c r="CZ36" s="131"/>
      <c r="DA36" s="131"/>
    </row>
    <row r="37" spans="1:105" s="2" customFormat="1" x14ac:dyDescent="0.25">
      <c r="A37" s="1038">
        <f t="shared" si="5"/>
        <v>9</v>
      </c>
      <c r="B37" s="1368"/>
      <c r="C37" s="1041" t="s">
        <v>313</v>
      </c>
      <c r="D37" s="131"/>
      <c r="E37" s="131"/>
      <c r="F37" s="131"/>
      <c r="G37" s="131"/>
      <c r="H37" s="131"/>
      <c r="I37" s="131"/>
      <c r="J37" s="131"/>
      <c r="K37" s="131"/>
      <c r="L37" s="131"/>
      <c r="M37" s="131">
        <v>1</v>
      </c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042">
        <f t="shared" si="6"/>
        <v>1</v>
      </c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043">
        <f t="shared" si="7"/>
        <v>0</v>
      </c>
      <c r="AT37" s="131"/>
      <c r="AU37" s="131"/>
      <c r="AV37" s="131"/>
      <c r="AW37" s="131">
        <v>1</v>
      </c>
      <c r="AX37" s="131">
        <v>1</v>
      </c>
      <c r="AY37" s="131"/>
      <c r="AZ37" s="131"/>
      <c r="BA37" s="131"/>
      <c r="BB37" s="131"/>
      <c r="BC37" s="131"/>
      <c r="BD37" s="131"/>
      <c r="BE37" s="131"/>
      <c r="BF37" s="131"/>
      <c r="BG37" s="131"/>
      <c r="BH37" s="131"/>
      <c r="BI37" s="131"/>
      <c r="BJ37" s="131"/>
      <c r="BK37" s="131"/>
      <c r="BL37" s="1044">
        <f t="shared" si="8"/>
        <v>2</v>
      </c>
      <c r="BM37" s="131"/>
      <c r="BN37" s="131"/>
      <c r="BO37" s="131"/>
      <c r="BP37" s="131"/>
      <c r="BQ37" s="131"/>
      <c r="BR37" s="131">
        <v>1</v>
      </c>
      <c r="BS37" s="131">
        <v>1</v>
      </c>
      <c r="BT37" s="131"/>
      <c r="BU37" s="131"/>
      <c r="BV37" s="131"/>
      <c r="BW37" s="131"/>
      <c r="BX37" s="131"/>
      <c r="BY37" s="131"/>
      <c r="BZ37" s="131"/>
      <c r="CA37" s="131"/>
      <c r="CB37" s="131"/>
      <c r="CC37" s="131"/>
      <c r="CD37" s="131"/>
      <c r="CE37" s="131"/>
      <c r="CF37" s="131">
        <v>1</v>
      </c>
      <c r="CG37" s="131"/>
      <c r="CH37" s="131"/>
      <c r="CI37" s="131">
        <v>1</v>
      </c>
      <c r="CJ37" s="1045">
        <f t="shared" si="9"/>
        <v>4</v>
      </c>
      <c r="CK37" s="131"/>
      <c r="CL37" s="131"/>
      <c r="CM37" s="131"/>
      <c r="CN37" s="131"/>
      <c r="CO37" s="131"/>
      <c r="CP37" s="131"/>
      <c r="CQ37" s="131"/>
      <c r="CR37" s="131"/>
      <c r="CS37" s="131"/>
      <c r="CT37" s="131"/>
      <c r="CU37" s="131"/>
      <c r="CV37" s="131"/>
      <c r="CW37" s="131"/>
      <c r="CX37" s="131"/>
      <c r="CY37" s="131">
        <v>1</v>
      </c>
      <c r="CZ37" s="131"/>
      <c r="DA37" s="131">
        <v>1</v>
      </c>
    </row>
    <row r="38" spans="1:105" s="2" customFormat="1" x14ac:dyDescent="0.25">
      <c r="A38" s="1038">
        <f t="shared" si="5"/>
        <v>8</v>
      </c>
      <c r="B38" s="1368"/>
      <c r="C38" s="1041" t="s">
        <v>315</v>
      </c>
      <c r="D38" s="131"/>
      <c r="E38" s="131"/>
      <c r="F38" s="131"/>
      <c r="G38" s="131"/>
      <c r="H38" s="131"/>
      <c r="I38" s="131"/>
      <c r="J38" s="131"/>
      <c r="K38" s="131"/>
      <c r="L38" s="131"/>
      <c r="M38" s="131">
        <v>1</v>
      </c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042">
        <f t="shared" si="6"/>
        <v>1</v>
      </c>
      <c r="AA38" s="131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  <c r="AL38" s="131"/>
      <c r="AM38" s="131"/>
      <c r="AN38" s="131"/>
      <c r="AO38" s="131"/>
      <c r="AP38" s="131"/>
      <c r="AQ38" s="131"/>
      <c r="AR38" s="131"/>
      <c r="AS38" s="1043">
        <f t="shared" si="7"/>
        <v>0</v>
      </c>
      <c r="AT38" s="131"/>
      <c r="AU38" s="131"/>
      <c r="AV38" s="131"/>
      <c r="AW38" s="131">
        <v>1</v>
      </c>
      <c r="AX38" s="131">
        <v>1</v>
      </c>
      <c r="AY38" s="131"/>
      <c r="AZ38" s="131"/>
      <c r="BA38" s="131"/>
      <c r="BB38" s="131"/>
      <c r="BC38" s="131"/>
      <c r="BD38" s="131"/>
      <c r="BE38" s="131"/>
      <c r="BF38" s="131"/>
      <c r="BG38" s="131"/>
      <c r="BH38" s="131"/>
      <c r="BI38" s="131"/>
      <c r="BJ38" s="131"/>
      <c r="BK38" s="131"/>
      <c r="BL38" s="1044">
        <f t="shared" si="8"/>
        <v>2</v>
      </c>
      <c r="BM38" s="131"/>
      <c r="BN38" s="131"/>
      <c r="BO38" s="131"/>
      <c r="BP38" s="131"/>
      <c r="BQ38" s="131"/>
      <c r="BR38" s="131">
        <v>1</v>
      </c>
      <c r="BS38" s="131">
        <v>1</v>
      </c>
      <c r="BT38" s="131"/>
      <c r="BU38" s="131"/>
      <c r="BV38" s="131"/>
      <c r="BW38" s="131"/>
      <c r="BX38" s="131"/>
      <c r="BY38" s="131"/>
      <c r="BZ38" s="131"/>
      <c r="CA38" s="131"/>
      <c r="CB38" s="131"/>
      <c r="CC38" s="131"/>
      <c r="CD38" s="131"/>
      <c r="CE38" s="131"/>
      <c r="CF38" s="131"/>
      <c r="CG38" s="131"/>
      <c r="CH38" s="131"/>
      <c r="CI38" s="131"/>
      <c r="CJ38" s="1045">
        <f t="shared" si="9"/>
        <v>2</v>
      </c>
      <c r="CK38" s="131">
        <v>1</v>
      </c>
      <c r="CL38" s="131"/>
      <c r="CM38" s="131"/>
      <c r="CN38" s="131">
        <v>1</v>
      </c>
      <c r="CO38" s="131">
        <v>1</v>
      </c>
      <c r="CP38" s="131"/>
      <c r="CQ38" s="131"/>
      <c r="CR38" s="131"/>
      <c r="CS38" s="131"/>
      <c r="CT38" s="131"/>
      <c r="CU38" s="131"/>
      <c r="CV38" s="131"/>
      <c r="CW38" s="131"/>
      <c r="CX38" s="131"/>
      <c r="CY38" s="131"/>
      <c r="CZ38" s="131"/>
      <c r="DA38" s="131"/>
    </row>
    <row r="39" spans="1:105" s="2" customFormat="1" x14ac:dyDescent="0.25">
      <c r="A39" s="1038">
        <f t="shared" si="5"/>
        <v>8</v>
      </c>
      <c r="B39" s="1368"/>
      <c r="C39" s="1041" t="s">
        <v>317</v>
      </c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042">
        <f t="shared" si="6"/>
        <v>0</v>
      </c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043">
        <f t="shared" si="7"/>
        <v>0</v>
      </c>
      <c r="AT39" s="131">
        <v>1</v>
      </c>
      <c r="AU39" s="131"/>
      <c r="AV39" s="131"/>
      <c r="AW39" s="131"/>
      <c r="AX39" s="131"/>
      <c r="AY39" s="131">
        <v>1</v>
      </c>
      <c r="AZ39" s="131"/>
      <c r="BA39" s="131"/>
      <c r="BB39" s="131"/>
      <c r="BC39" s="131"/>
      <c r="BD39" s="131"/>
      <c r="BE39" s="131"/>
      <c r="BF39" s="131">
        <v>1</v>
      </c>
      <c r="BG39" s="131"/>
      <c r="BH39" s="131"/>
      <c r="BI39" s="131"/>
      <c r="BJ39" s="131">
        <v>1</v>
      </c>
      <c r="BK39" s="131"/>
      <c r="BL39" s="1044">
        <f t="shared" si="8"/>
        <v>4</v>
      </c>
      <c r="BM39" s="131"/>
      <c r="BN39" s="131"/>
      <c r="BO39" s="131"/>
      <c r="BP39" s="131"/>
      <c r="BQ39" s="131"/>
      <c r="BR39" s="131"/>
      <c r="BS39" s="131"/>
      <c r="BT39" s="131"/>
      <c r="BU39" s="131">
        <v>1</v>
      </c>
      <c r="BV39" s="131"/>
      <c r="BW39" s="131"/>
      <c r="BX39" s="131"/>
      <c r="BY39" s="131"/>
      <c r="BZ39" s="131"/>
      <c r="CA39" s="131"/>
      <c r="CB39" s="131"/>
      <c r="CC39" s="131"/>
      <c r="CD39" s="131"/>
      <c r="CE39" s="131"/>
      <c r="CF39" s="131">
        <v>1</v>
      </c>
      <c r="CG39" s="131"/>
      <c r="CH39" s="131"/>
      <c r="CI39" s="131"/>
      <c r="CJ39" s="1045">
        <f t="shared" si="9"/>
        <v>2</v>
      </c>
      <c r="CK39" s="131"/>
      <c r="CL39" s="131"/>
      <c r="CM39" s="131"/>
      <c r="CN39" s="131">
        <v>1</v>
      </c>
      <c r="CO39" s="131">
        <v>1</v>
      </c>
      <c r="CP39" s="131"/>
      <c r="CQ39" s="131"/>
      <c r="CR39" s="131"/>
      <c r="CS39" s="131"/>
      <c r="CT39" s="131"/>
      <c r="CU39" s="131"/>
      <c r="CV39" s="131"/>
      <c r="CW39" s="131"/>
      <c r="CX39" s="131"/>
      <c r="CY39" s="131"/>
      <c r="CZ39" s="131"/>
      <c r="DA39" s="131"/>
    </row>
    <row r="40" spans="1:105" s="2" customFormat="1" x14ac:dyDescent="0.25">
      <c r="A40" s="1038">
        <f t="shared" si="5"/>
        <v>13</v>
      </c>
      <c r="B40" s="1368"/>
      <c r="C40" s="1041" t="s">
        <v>319</v>
      </c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>
        <v>1</v>
      </c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042">
        <f t="shared" si="6"/>
        <v>1</v>
      </c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043">
        <f t="shared" si="7"/>
        <v>0</v>
      </c>
      <c r="AT40" s="131"/>
      <c r="AU40" s="131"/>
      <c r="AV40" s="131"/>
      <c r="AW40" s="131"/>
      <c r="AX40" s="131"/>
      <c r="AY40" s="131">
        <v>1</v>
      </c>
      <c r="AZ40" s="131"/>
      <c r="BA40" s="131"/>
      <c r="BB40" s="131"/>
      <c r="BC40" s="131"/>
      <c r="BD40" s="131"/>
      <c r="BE40" s="131"/>
      <c r="BF40" s="131"/>
      <c r="BG40" s="131">
        <v>1</v>
      </c>
      <c r="BH40" s="131"/>
      <c r="BI40" s="131">
        <v>1</v>
      </c>
      <c r="BJ40" s="131">
        <v>1</v>
      </c>
      <c r="BK40" s="131"/>
      <c r="BL40" s="1044">
        <f t="shared" si="8"/>
        <v>4</v>
      </c>
      <c r="BM40" s="131">
        <v>1</v>
      </c>
      <c r="BN40" s="131"/>
      <c r="BO40" s="131"/>
      <c r="BP40" s="131"/>
      <c r="BQ40" s="131"/>
      <c r="BR40" s="131">
        <v>1</v>
      </c>
      <c r="BS40" s="131">
        <v>1</v>
      </c>
      <c r="BT40" s="131"/>
      <c r="BU40" s="131"/>
      <c r="BV40" s="131">
        <v>1</v>
      </c>
      <c r="BW40" s="131">
        <v>1</v>
      </c>
      <c r="BX40" s="131"/>
      <c r="BY40" s="131"/>
      <c r="BZ40" s="131"/>
      <c r="CA40" s="131">
        <v>1</v>
      </c>
      <c r="CB40" s="131">
        <v>1</v>
      </c>
      <c r="CC40" s="131"/>
      <c r="CD40" s="131"/>
      <c r="CE40" s="131"/>
      <c r="CF40" s="131"/>
      <c r="CG40" s="131">
        <v>1</v>
      </c>
      <c r="CH40" s="131"/>
      <c r="CI40" s="131"/>
      <c r="CJ40" s="1045">
        <f t="shared" si="9"/>
        <v>8</v>
      </c>
      <c r="CK40" s="131"/>
      <c r="CL40" s="131"/>
      <c r="CM40" s="131"/>
      <c r="CN40" s="131"/>
      <c r="CO40" s="131"/>
      <c r="CP40" s="131"/>
      <c r="CQ40" s="131"/>
      <c r="CR40" s="131"/>
      <c r="CS40" s="131"/>
      <c r="CT40" s="131"/>
      <c r="CU40" s="131"/>
      <c r="CV40" s="131"/>
      <c r="CW40" s="131"/>
      <c r="CX40" s="131"/>
      <c r="CY40" s="131"/>
      <c r="CZ40" s="131"/>
      <c r="DA40" s="131"/>
    </row>
    <row r="41" spans="1:105" s="2" customFormat="1" x14ac:dyDescent="0.25">
      <c r="A41" s="1064">
        <f t="shared" si="5"/>
        <v>15</v>
      </c>
      <c r="B41" s="1368"/>
      <c r="C41" s="1041" t="s">
        <v>321</v>
      </c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042">
        <f t="shared" si="6"/>
        <v>0</v>
      </c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K41" s="131"/>
      <c r="AL41" s="131"/>
      <c r="AM41" s="131"/>
      <c r="AN41" s="131"/>
      <c r="AO41" s="131"/>
      <c r="AP41" s="131"/>
      <c r="AQ41" s="131"/>
      <c r="AR41" s="131"/>
      <c r="AS41" s="1043">
        <f t="shared" si="7"/>
        <v>0</v>
      </c>
      <c r="AT41" s="131"/>
      <c r="AU41" s="131"/>
      <c r="AV41" s="131"/>
      <c r="AW41" s="131"/>
      <c r="AX41" s="131"/>
      <c r="AY41" s="131"/>
      <c r="AZ41" s="131"/>
      <c r="BA41" s="131"/>
      <c r="BB41" s="131"/>
      <c r="BC41" s="131"/>
      <c r="BD41" s="131"/>
      <c r="BE41" s="131"/>
      <c r="BF41" s="131"/>
      <c r="BG41" s="131"/>
      <c r="BH41" s="131"/>
      <c r="BI41" s="131"/>
      <c r="BJ41" s="131"/>
      <c r="BK41" s="131"/>
      <c r="BL41" s="1044">
        <f t="shared" si="8"/>
        <v>0</v>
      </c>
      <c r="BM41" s="131"/>
      <c r="BN41" s="131"/>
      <c r="BO41" s="131"/>
      <c r="BP41" s="131"/>
      <c r="BQ41" s="131"/>
      <c r="BR41" s="131">
        <v>1</v>
      </c>
      <c r="BS41" s="131">
        <v>1</v>
      </c>
      <c r="BT41" s="131"/>
      <c r="BU41" s="131"/>
      <c r="BV41" s="131"/>
      <c r="BW41" s="131"/>
      <c r="BX41" s="131"/>
      <c r="BY41" s="131">
        <v>1</v>
      </c>
      <c r="BZ41" s="131"/>
      <c r="CA41" s="131"/>
      <c r="CB41" s="131"/>
      <c r="CC41" s="131">
        <v>1</v>
      </c>
      <c r="CD41" s="131">
        <v>1</v>
      </c>
      <c r="CE41" s="131">
        <v>1</v>
      </c>
      <c r="CF41" s="131"/>
      <c r="CG41" s="131"/>
      <c r="CH41" s="131">
        <v>1</v>
      </c>
      <c r="CI41" s="131">
        <v>1</v>
      </c>
      <c r="CJ41" s="1045">
        <f t="shared" si="9"/>
        <v>8</v>
      </c>
      <c r="CK41" s="131"/>
      <c r="CL41" s="131"/>
      <c r="CM41" s="131">
        <v>1</v>
      </c>
      <c r="CN41" s="131"/>
      <c r="CO41" s="131"/>
      <c r="CP41" s="131">
        <v>1</v>
      </c>
      <c r="CQ41" s="131"/>
      <c r="CR41" s="131">
        <v>1</v>
      </c>
      <c r="CS41" s="131">
        <v>1</v>
      </c>
      <c r="CT41" s="131">
        <v>1</v>
      </c>
      <c r="CU41" s="131">
        <v>1</v>
      </c>
      <c r="CV41" s="131"/>
      <c r="CW41" s="131"/>
      <c r="CX41" s="131"/>
      <c r="CY41" s="131"/>
      <c r="CZ41" s="131">
        <v>1</v>
      </c>
      <c r="DA41" s="131"/>
    </row>
    <row r="42" spans="1:105" s="2" customFormat="1" x14ac:dyDescent="0.25">
      <c r="A42" s="1064">
        <f t="shared" si="5"/>
        <v>34</v>
      </c>
      <c r="B42" s="1369" t="s">
        <v>126</v>
      </c>
      <c r="C42" s="1068" t="s">
        <v>391</v>
      </c>
      <c r="D42" s="131">
        <v>1</v>
      </c>
      <c r="E42" s="131">
        <v>1</v>
      </c>
      <c r="F42" s="131">
        <v>1</v>
      </c>
      <c r="G42" s="131">
        <v>1</v>
      </c>
      <c r="H42" s="131">
        <v>1</v>
      </c>
      <c r="I42" s="131">
        <v>1</v>
      </c>
      <c r="J42" s="131">
        <v>1</v>
      </c>
      <c r="K42" s="131">
        <v>1</v>
      </c>
      <c r="L42" s="131">
        <v>1</v>
      </c>
      <c r="M42" s="131"/>
      <c r="N42" s="131">
        <v>1</v>
      </c>
      <c r="O42" s="131"/>
      <c r="P42" s="131"/>
      <c r="Q42" s="131">
        <v>1</v>
      </c>
      <c r="R42" s="131">
        <v>1</v>
      </c>
      <c r="S42" s="131"/>
      <c r="T42" s="131"/>
      <c r="U42" s="131">
        <v>1</v>
      </c>
      <c r="V42" s="131">
        <v>1</v>
      </c>
      <c r="W42" s="131">
        <v>1</v>
      </c>
      <c r="X42" s="131"/>
      <c r="Y42" s="131"/>
      <c r="Z42" s="1042">
        <f t="shared" si="6"/>
        <v>15</v>
      </c>
      <c r="AA42" s="131"/>
      <c r="AB42" s="131">
        <v>1</v>
      </c>
      <c r="AC42" s="131">
        <v>1</v>
      </c>
      <c r="AD42" s="131">
        <v>1</v>
      </c>
      <c r="AE42" s="131"/>
      <c r="AF42" s="131"/>
      <c r="AG42" s="131"/>
      <c r="AH42" s="131"/>
      <c r="AI42" s="131"/>
      <c r="AJ42" s="131"/>
      <c r="AK42" s="131">
        <v>1</v>
      </c>
      <c r="AL42" s="131">
        <v>1</v>
      </c>
      <c r="AM42" s="131">
        <v>1</v>
      </c>
      <c r="AN42" s="131">
        <v>1</v>
      </c>
      <c r="AO42" s="131">
        <v>1</v>
      </c>
      <c r="AP42" s="131">
        <v>1</v>
      </c>
      <c r="AQ42" s="131">
        <v>1</v>
      </c>
      <c r="AR42" s="131">
        <v>1</v>
      </c>
      <c r="AS42" s="1043">
        <f t="shared" si="7"/>
        <v>11</v>
      </c>
      <c r="AT42" s="131">
        <v>1</v>
      </c>
      <c r="AU42" s="131"/>
      <c r="AV42" s="131"/>
      <c r="AW42" s="131"/>
      <c r="AX42" s="131"/>
      <c r="AY42" s="131">
        <v>1</v>
      </c>
      <c r="AZ42" s="131"/>
      <c r="BA42" s="131"/>
      <c r="BB42" s="131"/>
      <c r="BC42" s="131"/>
      <c r="BD42" s="131"/>
      <c r="BE42" s="131"/>
      <c r="BF42" s="131"/>
      <c r="BG42" s="131"/>
      <c r="BH42" s="131"/>
      <c r="BI42" s="131">
        <v>1</v>
      </c>
      <c r="BJ42" s="131">
        <v>1</v>
      </c>
      <c r="BK42" s="131"/>
      <c r="BL42" s="1044">
        <f t="shared" si="8"/>
        <v>4</v>
      </c>
      <c r="BM42" s="131"/>
      <c r="BN42" s="131"/>
      <c r="BO42" s="131"/>
      <c r="BP42" s="131"/>
      <c r="BQ42" s="131"/>
      <c r="BR42" s="131"/>
      <c r="BS42" s="131"/>
      <c r="BT42" s="131">
        <v>1</v>
      </c>
      <c r="BU42" s="131">
        <v>1</v>
      </c>
      <c r="BV42" s="131"/>
      <c r="BW42" s="131"/>
      <c r="BX42" s="131"/>
      <c r="BY42" s="131"/>
      <c r="BZ42" s="131"/>
      <c r="CA42" s="131"/>
      <c r="CB42" s="131"/>
      <c r="CC42" s="131"/>
      <c r="CD42" s="131"/>
      <c r="CE42" s="131"/>
      <c r="CF42" s="131"/>
      <c r="CG42" s="131"/>
      <c r="CH42" s="131"/>
      <c r="CI42" s="131"/>
      <c r="CJ42" s="1045">
        <f t="shared" si="9"/>
        <v>2</v>
      </c>
      <c r="CK42" s="131"/>
      <c r="CL42" s="131"/>
      <c r="CM42" s="131"/>
      <c r="CN42" s="131">
        <v>1</v>
      </c>
      <c r="CO42" s="131">
        <v>1</v>
      </c>
      <c r="CP42" s="131"/>
      <c r="CQ42" s="131"/>
      <c r="CR42" s="131"/>
      <c r="CS42" s="131"/>
      <c r="CT42" s="131"/>
      <c r="CU42" s="131"/>
      <c r="CV42" s="131"/>
      <c r="CW42" s="131"/>
      <c r="CX42" s="131"/>
      <c r="CY42" s="131"/>
      <c r="CZ42" s="131"/>
      <c r="DA42" s="131"/>
    </row>
    <row r="43" spans="1:105" s="2" customFormat="1" x14ac:dyDescent="0.25">
      <c r="A43" s="1064">
        <f t="shared" si="5"/>
        <v>21</v>
      </c>
      <c r="B43" s="1369"/>
      <c r="C43" s="1068" t="s">
        <v>393</v>
      </c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042">
        <f t="shared" si="6"/>
        <v>0</v>
      </c>
      <c r="AA43" s="131"/>
      <c r="AB43" s="131"/>
      <c r="AC43" s="131"/>
      <c r="AD43" s="131"/>
      <c r="AE43" s="131"/>
      <c r="AF43" s="131">
        <v>1</v>
      </c>
      <c r="AG43" s="131">
        <v>1</v>
      </c>
      <c r="AH43" s="131">
        <v>1</v>
      </c>
      <c r="AI43" s="131"/>
      <c r="AJ43" s="131"/>
      <c r="AK43" s="131"/>
      <c r="AL43" s="131"/>
      <c r="AM43" s="131"/>
      <c r="AN43" s="131"/>
      <c r="AO43" s="131"/>
      <c r="AP43" s="131"/>
      <c r="AQ43" s="131"/>
      <c r="AR43" s="131"/>
      <c r="AS43" s="1043">
        <f t="shared" si="7"/>
        <v>3</v>
      </c>
      <c r="AT43" s="131"/>
      <c r="AU43" s="131">
        <v>1</v>
      </c>
      <c r="AV43" s="131"/>
      <c r="AW43" s="131"/>
      <c r="AX43" s="131"/>
      <c r="AY43" s="131"/>
      <c r="AZ43" s="131"/>
      <c r="BA43" s="131"/>
      <c r="BB43" s="131">
        <v>1</v>
      </c>
      <c r="BC43" s="131">
        <v>1</v>
      </c>
      <c r="BD43" s="131"/>
      <c r="BE43" s="131"/>
      <c r="BF43" s="131"/>
      <c r="BG43" s="131">
        <v>1</v>
      </c>
      <c r="BH43" s="131">
        <v>1</v>
      </c>
      <c r="BI43" s="131"/>
      <c r="BJ43" s="131"/>
      <c r="BK43" s="131">
        <v>1</v>
      </c>
      <c r="BL43" s="1044">
        <f t="shared" si="8"/>
        <v>6</v>
      </c>
      <c r="BM43" s="131"/>
      <c r="BN43" s="131"/>
      <c r="BO43" s="131"/>
      <c r="BP43" s="131"/>
      <c r="BQ43" s="131"/>
      <c r="BR43" s="131">
        <v>1</v>
      </c>
      <c r="BS43" s="131">
        <v>1</v>
      </c>
      <c r="BT43" s="131"/>
      <c r="BU43" s="131"/>
      <c r="BV43" s="131"/>
      <c r="BW43" s="131"/>
      <c r="BX43" s="131">
        <v>1</v>
      </c>
      <c r="BY43" s="131">
        <v>1</v>
      </c>
      <c r="BZ43" s="131"/>
      <c r="CA43" s="131"/>
      <c r="CB43" s="131"/>
      <c r="CC43" s="131">
        <v>1</v>
      </c>
      <c r="CD43" s="131"/>
      <c r="CE43" s="131"/>
      <c r="CF43" s="131"/>
      <c r="CG43" s="131"/>
      <c r="CH43" s="131"/>
      <c r="CI43" s="131"/>
      <c r="CJ43" s="1045">
        <f t="shared" si="9"/>
        <v>5</v>
      </c>
      <c r="CK43" s="131"/>
      <c r="CL43" s="131"/>
      <c r="CM43" s="131">
        <v>1</v>
      </c>
      <c r="CN43" s="131"/>
      <c r="CO43" s="131"/>
      <c r="CP43" s="131">
        <v>1</v>
      </c>
      <c r="CQ43" s="131"/>
      <c r="CR43" s="131"/>
      <c r="CS43" s="131">
        <v>1</v>
      </c>
      <c r="CT43" s="131">
        <v>1</v>
      </c>
      <c r="CU43" s="131">
        <v>1</v>
      </c>
      <c r="CV43" s="131"/>
      <c r="CW43" s="131"/>
      <c r="CX43" s="131"/>
      <c r="CY43" s="131">
        <v>1</v>
      </c>
      <c r="CZ43" s="131">
        <v>1</v>
      </c>
      <c r="DA43" s="131"/>
    </row>
    <row r="44" spans="1:105" s="2" customFormat="1" x14ac:dyDescent="0.25">
      <c r="A44" s="1064">
        <f t="shared" si="5"/>
        <v>16</v>
      </c>
      <c r="B44" s="1369"/>
      <c r="C44" s="1068" t="s">
        <v>395</v>
      </c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042">
        <f t="shared" si="6"/>
        <v>0</v>
      </c>
      <c r="AA44" s="131">
        <v>1</v>
      </c>
      <c r="AB44" s="131"/>
      <c r="AC44" s="131"/>
      <c r="AD44" s="131"/>
      <c r="AE44" s="131">
        <v>1</v>
      </c>
      <c r="AF44" s="131"/>
      <c r="AG44" s="131"/>
      <c r="AH44" s="131"/>
      <c r="AI44" s="131"/>
      <c r="AJ44" s="131"/>
      <c r="AK44" s="131"/>
      <c r="AL44" s="131"/>
      <c r="AM44" s="131"/>
      <c r="AN44" s="131"/>
      <c r="AO44" s="131"/>
      <c r="AP44" s="131"/>
      <c r="AQ44" s="131"/>
      <c r="AR44" s="131"/>
      <c r="AS44" s="1043">
        <f t="shared" si="7"/>
        <v>2</v>
      </c>
      <c r="AT44" s="131"/>
      <c r="AU44" s="131">
        <v>1</v>
      </c>
      <c r="AV44" s="131"/>
      <c r="AW44" s="131"/>
      <c r="AX44" s="131"/>
      <c r="AY44" s="131"/>
      <c r="AZ44" s="131"/>
      <c r="BA44" s="131"/>
      <c r="BB44" s="131"/>
      <c r="BC44" s="131"/>
      <c r="BD44" s="131"/>
      <c r="BE44" s="131"/>
      <c r="BF44" s="131"/>
      <c r="BG44" s="131"/>
      <c r="BH44" s="131"/>
      <c r="BI44" s="131"/>
      <c r="BJ44" s="131"/>
      <c r="BK44" s="131"/>
      <c r="BL44" s="1044">
        <f t="shared" si="8"/>
        <v>1</v>
      </c>
      <c r="BM44" s="131"/>
      <c r="BN44" s="131"/>
      <c r="BO44" s="131"/>
      <c r="BP44" s="131"/>
      <c r="BQ44" s="131"/>
      <c r="BR44" s="131"/>
      <c r="BS44" s="131"/>
      <c r="BT44" s="131"/>
      <c r="BU44" s="131"/>
      <c r="BV44" s="131"/>
      <c r="BW44" s="131"/>
      <c r="BX44" s="131">
        <v>1</v>
      </c>
      <c r="BY44" s="131">
        <v>1</v>
      </c>
      <c r="BZ44" s="131">
        <v>1</v>
      </c>
      <c r="CA44" s="131">
        <v>1</v>
      </c>
      <c r="CB44" s="131">
        <v>1</v>
      </c>
      <c r="CC44" s="131">
        <v>1</v>
      </c>
      <c r="CD44" s="131"/>
      <c r="CE44" s="131">
        <v>1</v>
      </c>
      <c r="CF44" s="131"/>
      <c r="CG44" s="131"/>
      <c r="CH44" s="131"/>
      <c r="CI44" s="131"/>
      <c r="CJ44" s="1045">
        <f t="shared" si="9"/>
        <v>7</v>
      </c>
      <c r="CK44" s="131">
        <v>1</v>
      </c>
      <c r="CL44" s="131"/>
      <c r="CM44" s="131">
        <v>1</v>
      </c>
      <c r="CN44" s="131"/>
      <c r="CO44" s="131"/>
      <c r="CP44" s="131"/>
      <c r="CQ44" s="131">
        <v>1</v>
      </c>
      <c r="CR44" s="131"/>
      <c r="CS44" s="131"/>
      <c r="CT44" s="131"/>
      <c r="CU44" s="131"/>
      <c r="CV44" s="131">
        <v>1</v>
      </c>
      <c r="CW44" s="131">
        <v>1</v>
      </c>
      <c r="CX44" s="131"/>
      <c r="CY44" s="131">
        <v>1</v>
      </c>
      <c r="CZ44" s="131"/>
      <c r="DA44" s="131"/>
    </row>
    <row r="45" spans="1:105" s="2" customFormat="1" x14ac:dyDescent="0.25">
      <c r="A45" s="1064">
        <f t="shared" si="5"/>
        <v>12</v>
      </c>
      <c r="B45" s="1369"/>
      <c r="C45" s="1068" t="s">
        <v>397</v>
      </c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>
        <v>1</v>
      </c>
      <c r="U45" s="131"/>
      <c r="V45" s="131"/>
      <c r="W45" s="131"/>
      <c r="X45" s="131"/>
      <c r="Y45" s="131"/>
      <c r="Z45" s="1042">
        <f t="shared" si="6"/>
        <v>1</v>
      </c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131"/>
      <c r="AL45" s="131"/>
      <c r="AM45" s="131"/>
      <c r="AN45" s="131"/>
      <c r="AO45" s="131"/>
      <c r="AP45" s="131"/>
      <c r="AQ45" s="131"/>
      <c r="AR45" s="131"/>
      <c r="AS45" s="1043">
        <f t="shared" si="7"/>
        <v>0</v>
      </c>
      <c r="AT45" s="131"/>
      <c r="AU45" s="131"/>
      <c r="AV45" s="131"/>
      <c r="AW45" s="131">
        <v>1</v>
      </c>
      <c r="AX45" s="131">
        <v>1</v>
      </c>
      <c r="AY45" s="131"/>
      <c r="AZ45" s="131"/>
      <c r="BA45" s="131"/>
      <c r="BB45" s="131"/>
      <c r="BC45" s="131"/>
      <c r="BD45" s="131"/>
      <c r="BE45" s="131"/>
      <c r="BF45" s="131">
        <v>1</v>
      </c>
      <c r="BG45" s="131"/>
      <c r="BH45" s="131">
        <v>1</v>
      </c>
      <c r="BI45" s="131"/>
      <c r="BJ45" s="131"/>
      <c r="BK45" s="131">
        <v>1</v>
      </c>
      <c r="BL45" s="1044">
        <f t="shared" si="8"/>
        <v>5</v>
      </c>
      <c r="BM45" s="131"/>
      <c r="BN45" s="131"/>
      <c r="BO45" s="131"/>
      <c r="BP45" s="131"/>
      <c r="BQ45" s="131"/>
      <c r="BR45" s="131">
        <v>1</v>
      </c>
      <c r="BS45" s="131">
        <v>1</v>
      </c>
      <c r="BT45" s="131"/>
      <c r="BU45" s="131"/>
      <c r="BV45" s="131"/>
      <c r="BW45" s="131"/>
      <c r="BX45" s="131"/>
      <c r="BY45" s="131"/>
      <c r="BZ45" s="131"/>
      <c r="CA45" s="131"/>
      <c r="CB45" s="131"/>
      <c r="CC45" s="131"/>
      <c r="CD45" s="131"/>
      <c r="CE45" s="131">
        <v>1</v>
      </c>
      <c r="CF45" s="131"/>
      <c r="CG45" s="131">
        <v>1</v>
      </c>
      <c r="CH45" s="131"/>
      <c r="CI45" s="131"/>
      <c r="CJ45" s="1045">
        <f t="shared" si="9"/>
        <v>4</v>
      </c>
      <c r="CK45" s="131"/>
      <c r="CL45" s="131"/>
      <c r="CM45" s="131"/>
      <c r="CN45" s="131"/>
      <c r="CO45" s="131"/>
      <c r="CP45" s="131"/>
      <c r="CQ45" s="131">
        <v>1</v>
      </c>
      <c r="CR45" s="131"/>
      <c r="CS45" s="131"/>
      <c r="CT45" s="131"/>
      <c r="CU45" s="131"/>
      <c r="CV45" s="131"/>
      <c r="CW45" s="131"/>
      <c r="CX45" s="131">
        <v>1</v>
      </c>
      <c r="CY45" s="131"/>
      <c r="CZ45" s="131"/>
      <c r="DA45" s="131"/>
    </row>
    <row r="46" spans="1:105" s="2" customFormat="1" x14ac:dyDescent="0.25">
      <c r="A46" s="1064">
        <f t="shared" si="5"/>
        <v>19</v>
      </c>
      <c r="B46" s="1369"/>
      <c r="C46" s="1068" t="s">
        <v>399</v>
      </c>
      <c r="D46" s="131"/>
      <c r="E46" s="131"/>
      <c r="F46" s="131"/>
      <c r="G46" s="131"/>
      <c r="H46" s="131"/>
      <c r="I46" s="131"/>
      <c r="J46" s="131"/>
      <c r="K46" s="131"/>
      <c r="L46" s="131"/>
      <c r="M46" s="131">
        <v>1</v>
      </c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042">
        <f t="shared" si="6"/>
        <v>1</v>
      </c>
      <c r="AA46" s="131"/>
      <c r="AB46" s="131"/>
      <c r="AC46" s="131"/>
      <c r="AD46" s="131"/>
      <c r="AE46" s="131"/>
      <c r="AF46" s="131">
        <v>1</v>
      </c>
      <c r="AG46" s="131">
        <v>1</v>
      </c>
      <c r="AH46" s="131">
        <v>1</v>
      </c>
      <c r="AI46" s="131"/>
      <c r="AJ46" s="131"/>
      <c r="AK46" s="131"/>
      <c r="AL46" s="131"/>
      <c r="AM46" s="131"/>
      <c r="AN46" s="131"/>
      <c r="AO46" s="131"/>
      <c r="AP46" s="131"/>
      <c r="AQ46" s="131"/>
      <c r="AR46" s="131"/>
      <c r="AS46" s="1043">
        <f t="shared" si="7"/>
        <v>3</v>
      </c>
      <c r="AT46" s="131"/>
      <c r="AU46" s="131"/>
      <c r="AV46" s="131">
        <v>1</v>
      </c>
      <c r="AW46" s="131"/>
      <c r="AX46" s="131"/>
      <c r="AY46" s="131"/>
      <c r="AZ46" s="131"/>
      <c r="BA46" s="131"/>
      <c r="BB46" s="131">
        <v>1</v>
      </c>
      <c r="BC46" s="131">
        <v>1</v>
      </c>
      <c r="BD46" s="131"/>
      <c r="BE46" s="131"/>
      <c r="BF46" s="131">
        <v>1</v>
      </c>
      <c r="BG46" s="131"/>
      <c r="BH46" s="131">
        <v>1</v>
      </c>
      <c r="BI46" s="131"/>
      <c r="BJ46" s="131"/>
      <c r="BK46" s="131">
        <v>1</v>
      </c>
      <c r="BL46" s="1044">
        <f t="shared" si="8"/>
        <v>6</v>
      </c>
      <c r="BM46" s="131">
        <v>1</v>
      </c>
      <c r="BN46" s="131">
        <v>1</v>
      </c>
      <c r="BO46" s="131"/>
      <c r="BP46" s="131"/>
      <c r="BQ46" s="131"/>
      <c r="BR46" s="131"/>
      <c r="BS46" s="131"/>
      <c r="BT46" s="131"/>
      <c r="BU46" s="131"/>
      <c r="BV46" s="131">
        <v>1</v>
      </c>
      <c r="BW46" s="131">
        <v>1</v>
      </c>
      <c r="BX46" s="131"/>
      <c r="BY46" s="131"/>
      <c r="BZ46" s="131"/>
      <c r="CA46" s="131"/>
      <c r="CB46" s="131"/>
      <c r="CC46" s="131"/>
      <c r="CD46" s="131"/>
      <c r="CE46" s="131"/>
      <c r="CF46" s="131">
        <v>1</v>
      </c>
      <c r="CG46" s="131"/>
      <c r="CH46" s="131"/>
      <c r="CI46" s="131">
        <v>1</v>
      </c>
      <c r="CJ46" s="1045">
        <f t="shared" si="9"/>
        <v>6</v>
      </c>
      <c r="CK46" s="131"/>
      <c r="CL46" s="131"/>
      <c r="CM46" s="131"/>
      <c r="CN46" s="131"/>
      <c r="CO46" s="131"/>
      <c r="CP46" s="131"/>
      <c r="CQ46" s="131">
        <v>1</v>
      </c>
      <c r="CR46" s="131"/>
      <c r="CS46" s="131"/>
      <c r="CT46" s="131"/>
      <c r="CU46" s="131"/>
      <c r="CV46" s="131"/>
      <c r="CW46" s="131">
        <v>1</v>
      </c>
      <c r="CX46" s="131"/>
      <c r="CY46" s="131">
        <v>1</v>
      </c>
      <c r="CZ46" s="131"/>
      <c r="DA46" s="131"/>
    </row>
    <row r="47" spans="1:105" s="2" customFormat="1" x14ac:dyDescent="0.25">
      <c r="A47" s="1064">
        <f t="shared" si="5"/>
        <v>12</v>
      </c>
      <c r="B47" s="1369"/>
      <c r="C47" s="1068" t="s">
        <v>401</v>
      </c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042">
        <f t="shared" si="6"/>
        <v>0</v>
      </c>
      <c r="AA47" s="131">
        <v>1</v>
      </c>
      <c r="AB47" s="131"/>
      <c r="AC47" s="131"/>
      <c r="AD47" s="131"/>
      <c r="AE47" s="131"/>
      <c r="AF47" s="131"/>
      <c r="AG47" s="131"/>
      <c r="AH47" s="131"/>
      <c r="AI47" s="131"/>
      <c r="AJ47" s="131"/>
      <c r="AK47" s="131"/>
      <c r="AL47" s="131"/>
      <c r="AM47" s="131"/>
      <c r="AN47" s="131"/>
      <c r="AO47" s="131"/>
      <c r="AP47" s="131"/>
      <c r="AQ47" s="131"/>
      <c r="AR47" s="131"/>
      <c r="AS47" s="1043">
        <f t="shared" si="7"/>
        <v>1</v>
      </c>
      <c r="AT47" s="131"/>
      <c r="AU47" s="131"/>
      <c r="AV47" s="131"/>
      <c r="AW47" s="131"/>
      <c r="AX47" s="131"/>
      <c r="AY47" s="131"/>
      <c r="AZ47" s="131"/>
      <c r="BA47" s="131"/>
      <c r="BB47" s="131"/>
      <c r="BC47" s="131"/>
      <c r="BD47" s="131"/>
      <c r="BE47" s="131"/>
      <c r="BF47" s="131"/>
      <c r="BG47" s="131"/>
      <c r="BH47" s="131">
        <v>1</v>
      </c>
      <c r="BI47" s="131"/>
      <c r="BJ47" s="131"/>
      <c r="BK47" s="131">
        <v>1</v>
      </c>
      <c r="BL47" s="1044">
        <f t="shared" si="8"/>
        <v>2</v>
      </c>
      <c r="BM47" s="131"/>
      <c r="BN47" s="131"/>
      <c r="BO47" s="131"/>
      <c r="BP47" s="131"/>
      <c r="BQ47" s="131"/>
      <c r="BR47" s="131">
        <v>1</v>
      </c>
      <c r="BS47" s="131">
        <v>1</v>
      </c>
      <c r="BT47" s="131"/>
      <c r="BU47" s="131"/>
      <c r="BV47" s="131"/>
      <c r="BW47" s="131"/>
      <c r="BX47" s="131"/>
      <c r="BY47" s="131">
        <v>1</v>
      </c>
      <c r="BZ47" s="131"/>
      <c r="CA47" s="131">
        <v>1</v>
      </c>
      <c r="CB47" s="131">
        <v>1</v>
      </c>
      <c r="CC47" s="131">
        <v>1</v>
      </c>
      <c r="CD47" s="131"/>
      <c r="CE47" s="131">
        <v>1</v>
      </c>
      <c r="CF47" s="131"/>
      <c r="CG47" s="131">
        <v>1</v>
      </c>
      <c r="CH47" s="131"/>
      <c r="CI47" s="131"/>
      <c r="CJ47" s="1045">
        <f t="shared" si="9"/>
        <v>8</v>
      </c>
      <c r="CK47" s="131"/>
      <c r="CL47" s="131"/>
      <c r="CM47" s="131"/>
      <c r="CN47" s="131"/>
      <c r="CO47" s="131"/>
      <c r="CP47" s="131"/>
      <c r="CQ47" s="131"/>
      <c r="CR47" s="131"/>
      <c r="CS47" s="131"/>
      <c r="CT47" s="131"/>
      <c r="CU47" s="131"/>
      <c r="CV47" s="131"/>
      <c r="CW47" s="131"/>
      <c r="CX47" s="131"/>
      <c r="CY47" s="131"/>
      <c r="CZ47" s="131"/>
      <c r="DA47" s="131">
        <v>1</v>
      </c>
    </row>
    <row r="48" spans="1:105" s="2" customFormat="1" x14ac:dyDescent="0.25">
      <c r="A48" s="1064">
        <f t="shared" si="5"/>
        <v>11</v>
      </c>
      <c r="B48" s="1369"/>
      <c r="C48" s="1068" t="s">
        <v>403</v>
      </c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>
        <v>1</v>
      </c>
      <c r="S48" s="131"/>
      <c r="T48" s="131">
        <v>1</v>
      </c>
      <c r="U48" s="131"/>
      <c r="V48" s="131"/>
      <c r="W48" s="131"/>
      <c r="X48" s="131"/>
      <c r="Y48" s="131"/>
      <c r="Z48" s="1042">
        <f t="shared" si="6"/>
        <v>2</v>
      </c>
      <c r="AA48" s="131"/>
      <c r="AB48" s="131"/>
      <c r="AC48" s="131"/>
      <c r="AD48" s="131"/>
      <c r="AE48" s="131"/>
      <c r="AF48" s="131"/>
      <c r="AG48" s="131"/>
      <c r="AH48" s="131"/>
      <c r="AI48" s="131"/>
      <c r="AJ48" s="131"/>
      <c r="AK48" s="131"/>
      <c r="AL48" s="131"/>
      <c r="AM48" s="131"/>
      <c r="AN48" s="131"/>
      <c r="AO48" s="131"/>
      <c r="AP48" s="131"/>
      <c r="AQ48" s="131"/>
      <c r="AR48" s="131"/>
      <c r="AS48" s="1043">
        <f t="shared" si="7"/>
        <v>0</v>
      </c>
      <c r="AT48" s="131"/>
      <c r="AU48" s="131"/>
      <c r="AV48" s="131"/>
      <c r="AW48" s="131"/>
      <c r="AX48" s="131"/>
      <c r="AY48" s="131"/>
      <c r="AZ48" s="131"/>
      <c r="BA48" s="131"/>
      <c r="BB48" s="131">
        <v>1</v>
      </c>
      <c r="BC48" s="131">
        <v>1</v>
      </c>
      <c r="BD48" s="131"/>
      <c r="BE48" s="131"/>
      <c r="BF48" s="131">
        <v>1</v>
      </c>
      <c r="BG48" s="131"/>
      <c r="BH48" s="131"/>
      <c r="BI48" s="131"/>
      <c r="BJ48" s="131"/>
      <c r="BK48" s="131"/>
      <c r="BL48" s="1044">
        <f t="shared" si="8"/>
        <v>3</v>
      </c>
      <c r="BM48" s="131"/>
      <c r="BN48" s="131"/>
      <c r="BO48" s="131"/>
      <c r="BP48" s="131"/>
      <c r="BQ48" s="131"/>
      <c r="BR48" s="131">
        <v>1</v>
      </c>
      <c r="BS48" s="131">
        <v>1</v>
      </c>
      <c r="BT48" s="131"/>
      <c r="BU48" s="131"/>
      <c r="BV48" s="131"/>
      <c r="BW48" s="131"/>
      <c r="BX48" s="131"/>
      <c r="BY48" s="131"/>
      <c r="BZ48" s="131"/>
      <c r="CA48" s="131"/>
      <c r="CB48" s="131"/>
      <c r="CC48" s="131"/>
      <c r="CD48" s="131"/>
      <c r="CE48" s="131">
        <v>1</v>
      </c>
      <c r="CF48" s="131"/>
      <c r="CG48" s="131"/>
      <c r="CH48" s="131">
        <v>1</v>
      </c>
      <c r="CI48" s="131"/>
      <c r="CJ48" s="1045">
        <f t="shared" si="9"/>
        <v>4</v>
      </c>
      <c r="CK48" s="131">
        <v>1</v>
      </c>
      <c r="CL48" s="131"/>
      <c r="CM48" s="131"/>
      <c r="CN48" s="131"/>
      <c r="CO48" s="131"/>
      <c r="CP48" s="131"/>
      <c r="CQ48" s="131"/>
      <c r="CR48" s="131"/>
      <c r="CS48" s="131"/>
      <c r="CT48" s="131"/>
      <c r="CU48" s="131"/>
      <c r="CV48" s="131"/>
      <c r="CW48" s="131"/>
      <c r="CX48" s="131"/>
      <c r="CY48" s="131"/>
      <c r="CZ48" s="131"/>
      <c r="DA48" s="131">
        <v>1</v>
      </c>
    </row>
    <row r="49" spans="1:105" s="2" customFormat="1" x14ac:dyDescent="0.25">
      <c r="A49" s="1064">
        <f t="shared" si="5"/>
        <v>9</v>
      </c>
      <c r="B49" s="1369"/>
      <c r="C49" s="1068" t="s">
        <v>405</v>
      </c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31"/>
      <c r="Y49" s="131"/>
      <c r="Z49" s="1042">
        <f t="shared" si="6"/>
        <v>0</v>
      </c>
      <c r="AA49" s="131"/>
      <c r="AB49" s="131"/>
      <c r="AC49" s="131"/>
      <c r="AD49" s="131"/>
      <c r="AE49" s="131"/>
      <c r="AF49" s="131"/>
      <c r="AG49" s="131"/>
      <c r="AH49" s="131"/>
      <c r="AI49" s="131"/>
      <c r="AJ49" s="131"/>
      <c r="AK49" s="131"/>
      <c r="AL49" s="131"/>
      <c r="AM49" s="131"/>
      <c r="AN49" s="131"/>
      <c r="AO49" s="131"/>
      <c r="AP49" s="131"/>
      <c r="AQ49" s="131"/>
      <c r="AR49" s="131"/>
      <c r="AS49" s="1043">
        <f t="shared" si="7"/>
        <v>0</v>
      </c>
      <c r="AT49" s="131"/>
      <c r="AU49" s="131"/>
      <c r="AV49" s="131"/>
      <c r="AW49" s="131"/>
      <c r="AX49" s="131"/>
      <c r="AY49" s="131"/>
      <c r="AZ49" s="131"/>
      <c r="BA49" s="131"/>
      <c r="BB49" s="131">
        <v>1</v>
      </c>
      <c r="BC49" s="131">
        <v>1</v>
      </c>
      <c r="BD49" s="131"/>
      <c r="BE49" s="131"/>
      <c r="BF49" s="131">
        <v>1</v>
      </c>
      <c r="BG49" s="131"/>
      <c r="BH49" s="131"/>
      <c r="BI49" s="131"/>
      <c r="BJ49" s="131"/>
      <c r="BK49" s="131"/>
      <c r="BL49" s="1044">
        <f t="shared" si="8"/>
        <v>3</v>
      </c>
      <c r="BM49" s="131"/>
      <c r="BN49" s="131"/>
      <c r="BO49" s="131"/>
      <c r="BP49" s="131"/>
      <c r="BQ49" s="131"/>
      <c r="BR49" s="131"/>
      <c r="BS49" s="131"/>
      <c r="BT49" s="131"/>
      <c r="BU49" s="131"/>
      <c r="BV49" s="131"/>
      <c r="BW49" s="131"/>
      <c r="BX49" s="131"/>
      <c r="BY49" s="131"/>
      <c r="BZ49" s="131"/>
      <c r="CA49" s="131"/>
      <c r="CB49" s="131"/>
      <c r="CC49" s="131"/>
      <c r="CD49" s="131"/>
      <c r="CE49" s="131"/>
      <c r="CF49" s="131"/>
      <c r="CG49" s="131"/>
      <c r="CH49" s="131">
        <v>1</v>
      </c>
      <c r="CI49" s="131"/>
      <c r="CJ49" s="1045">
        <f t="shared" si="9"/>
        <v>1</v>
      </c>
      <c r="CK49" s="131"/>
      <c r="CL49" s="131"/>
      <c r="CM49" s="131">
        <v>1</v>
      </c>
      <c r="CN49" s="131"/>
      <c r="CO49" s="131"/>
      <c r="CP49" s="131"/>
      <c r="CQ49" s="131"/>
      <c r="CR49" s="131"/>
      <c r="CS49" s="131"/>
      <c r="CT49" s="131"/>
      <c r="CU49" s="131"/>
      <c r="CV49" s="131"/>
      <c r="CW49" s="131">
        <v>1</v>
      </c>
      <c r="CX49" s="131"/>
      <c r="CY49" s="131">
        <v>1</v>
      </c>
      <c r="CZ49" s="131">
        <v>1</v>
      </c>
      <c r="DA49" s="131">
        <v>1</v>
      </c>
    </row>
    <row r="50" spans="1:105" s="2" customFormat="1" x14ac:dyDescent="0.25">
      <c r="A50" s="1038">
        <f t="shared" si="5"/>
        <v>12</v>
      </c>
      <c r="B50" s="1369"/>
      <c r="C50" s="1068" t="s">
        <v>407</v>
      </c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>
        <v>1</v>
      </c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042">
        <f t="shared" si="6"/>
        <v>1</v>
      </c>
      <c r="AA50" s="131"/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131"/>
      <c r="AP50" s="131"/>
      <c r="AQ50" s="131"/>
      <c r="AR50" s="131"/>
      <c r="AS50" s="1043">
        <f t="shared" si="7"/>
        <v>0</v>
      </c>
      <c r="AT50" s="131"/>
      <c r="AU50" s="131"/>
      <c r="AV50" s="131"/>
      <c r="AW50" s="131"/>
      <c r="AX50" s="131"/>
      <c r="AY50" s="131">
        <v>1</v>
      </c>
      <c r="AZ50" s="131"/>
      <c r="BA50" s="131"/>
      <c r="BB50" s="131"/>
      <c r="BC50" s="131"/>
      <c r="BD50" s="131">
        <v>1</v>
      </c>
      <c r="BE50" s="131">
        <v>1</v>
      </c>
      <c r="BF50" s="131"/>
      <c r="BG50" s="131"/>
      <c r="BH50" s="131"/>
      <c r="BI50" s="131"/>
      <c r="BJ50" s="131"/>
      <c r="BK50" s="131"/>
      <c r="BL50" s="1044">
        <f t="shared" si="8"/>
        <v>3</v>
      </c>
      <c r="BM50" s="131"/>
      <c r="BN50" s="131"/>
      <c r="BO50" s="131"/>
      <c r="BP50" s="131"/>
      <c r="BQ50" s="131"/>
      <c r="BR50" s="131">
        <v>1</v>
      </c>
      <c r="BS50" s="131">
        <v>1</v>
      </c>
      <c r="BT50" s="131">
        <v>1</v>
      </c>
      <c r="BU50" s="131">
        <v>1</v>
      </c>
      <c r="BV50" s="131"/>
      <c r="BW50" s="131"/>
      <c r="BX50" s="131"/>
      <c r="BY50" s="131"/>
      <c r="BZ50" s="131"/>
      <c r="CA50" s="131"/>
      <c r="CB50" s="131"/>
      <c r="CC50" s="131"/>
      <c r="CD50" s="131"/>
      <c r="CE50" s="131"/>
      <c r="CF50" s="131"/>
      <c r="CG50" s="131">
        <v>1</v>
      </c>
      <c r="CH50" s="131"/>
      <c r="CI50" s="131"/>
      <c r="CJ50" s="1045">
        <f t="shared" si="9"/>
        <v>5</v>
      </c>
      <c r="CK50" s="131"/>
      <c r="CL50" s="131"/>
      <c r="CM50" s="131"/>
      <c r="CN50" s="131">
        <v>1</v>
      </c>
      <c r="CO50" s="131">
        <v>1</v>
      </c>
      <c r="CP50" s="131"/>
      <c r="CQ50" s="131"/>
      <c r="CR50" s="131"/>
      <c r="CS50" s="131"/>
      <c r="CT50" s="131"/>
      <c r="CU50" s="131"/>
      <c r="CV50" s="131"/>
      <c r="CW50" s="131"/>
      <c r="CX50" s="131"/>
      <c r="CY50" s="131"/>
      <c r="CZ50" s="131"/>
      <c r="DA50" s="131">
        <v>1</v>
      </c>
    </row>
    <row r="51" spans="1:105" s="2" customFormat="1" x14ac:dyDescent="0.25">
      <c r="A51" s="1038">
        <f t="shared" si="5"/>
        <v>660</v>
      </c>
      <c r="B51" s="1369"/>
      <c r="C51" s="1067" t="s">
        <v>635</v>
      </c>
      <c r="D51" s="1067">
        <f>SUM(D2:D50)</f>
        <v>3</v>
      </c>
      <c r="E51" s="1067">
        <f t="shared" ref="E51:BP51" si="10">SUM(E2:E50)</f>
        <v>4</v>
      </c>
      <c r="F51" s="1067">
        <f t="shared" si="10"/>
        <v>3</v>
      </c>
      <c r="G51" s="1067">
        <f t="shared" si="10"/>
        <v>5</v>
      </c>
      <c r="H51" s="1067">
        <f t="shared" si="10"/>
        <v>4</v>
      </c>
      <c r="I51" s="1067">
        <f t="shared" si="10"/>
        <v>2</v>
      </c>
      <c r="J51" s="1067">
        <f t="shared" si="10"/>
        <v>2</v>
      </c>
      <c r="K51" s="1067">
        <f t="shared" si="10"/>
        <v>4</v>
      </c>
      <c r="L51" s="1067">
        <f t="shared" si="10"/>
        <v>5</v>
      </c>
      <c r="M51" s="1067">
        <f t="shared" si="10"/>
        <v>3</v>
      </c>
      <c r="N51" s="1067">
        <f t="shared" si="10"/>
        <v>4</v>
      </c>
      <c r="O51" s="1067">
        <f t="shared" si="10"/>
        <v>0</v>
      </c>
      <c r="P51" s="1067">
        <f t="shared" si="10"/>
        <v>0</v>
      </c>
      <c r="Q51" s="1067">
        <f t="shared" si="10"/>
        <v>3</v>
      </c>
      <c r="R51" s="1067">
        <f t="shared" si="10"/>
        <v>4</v>
      </c>
      <c r="S51" s="1067">
        <f t="shared" si="10"/>
        <v>0</v>
      </c>
      <c r="T51" s="1067">
        <f t="shared" si="10"/>
        <v>4</v>
      </c>
      <c r="U51" s="1067">
        <f t="shared" si="10"/>
        <v>3</v>
      </c>
      <c r="V51" s="1067">
        <f t="shared" si="10"/>
        <v>3</v>
      </c>
      <c r="W51" s="1067">
        <f t="shared" si="10"/>
        <v>3</v>
      </c>
      <c r="X51" s="1067">
        <f t="shared" si="10"/>
        <v>1</v>
      </c>
      <c r="Y51" s="1067">
        <f t="shared" si="10"/>
        <v>1</v>
      </c>
      <c r="Z51" s="1067">
        <f t="shared" si="10"/>
        <v>61</v>
      </c>
      <c r="AA51" s="1067">
        <f t="shared" si="10"/>
        <v>5</v>
      </c>
      <c r="AB51" s="1067">
        <f t="shared" si="10"/>
        <v>2</v>
      </c>
      <c r="AC51" s="1067">
        <f t="shared" si="10"/>
        <v>2</v>
      </c>
      <c r="AD51" s="1067">
        <f t="shared" si="10"/>
        <v>5</v>
      </c>
      <c r="AE51" s="1067">
        <f t="shared" si="10"/>
        <v>4</v>
      </c>
      <c r="AF51" s="1067">
        <f t="shared" si="10"/>
        <v>5</v>
      </c>
      <c r="AG51" s="1067">
        <f t="shared" si="10"/>
        <v>6</v>
      </c>
      <c r="AH51" s="1067">
        <f t="shared" si="10"/>
        <v>7</v>
      </c>
      <c r="AI51" s="1067">
        <f t="shared" si="10"/>
        <v>0</v>
      </c>
      <c r="AJ51" s="1067">
        <f t="shared" si="10"/>
        <v>0</v>
      </c>
      <c r="AK51" s="1067">
        <f t="shared" si="10"/>
        <v>3</v>
      </c>
      <c r="AL51" s="1067">
        <f t="shared" si="10"/>
        <v>5</v>
      </c>
      <c r="AM51" s="1067">
        <f t="shared" si="10"/>
        <v>6</v>
      </c>
      <c r="AN51" s="1067">
        <f t="shared" si="10"/>
        <v>5</v>
      </c>
      <c r="AO51" s="1067">
        <f t="shared" si="10"/>
        <v>6</v>
      </c>
      <c r="AP51" s="1067">
        <f t="shared" si="10"/>
        <v>3</v>
      </c>
      <c r="AQ51" s="1067">
        <f t="shared" si="10"/>
        <v>6</v>
      </c>
      <c r="AR51" s="1067">
        <f t="shared" si="10"/>
        <v>2</v>
      </c>
      <c r="AS51" s="1067">
        <f t="shared" si="10"/>
        <v>72</v>
      </c>
      <c r="AT51" s="1067">
        <f t="shared" si="10"/>
        <v>7</v>
      </c>
      <c r="AU51" s="1067">
        <f t="shared" si="10"/>
        <v>8</v>
      </c>
      <c r="AV51" s="1067">
        <f t="shared" si="10"/>
        <v>6</v>
      </c>
      <c r="AW51" s="1067">
        <f t="shared" si="10"/>
        <v>11</v>
      </c>
      <c r="AX51" s="1067">
        <f t="shared" si="10"/>
        <v>12</v>
      </c>
      <c r="AY51" s="1067">
        <f t="shared" si="10"/>
        <v>9</v>
      </c>
      <c r="AZ51" s="1067">
        <f t="shared" si="10"/>
        <v>0</v>
      </c>
      <c r="BA51" s="1067">
        <f t="shared" si="10"/>
        <v>0</v>
      </c>
      <c r="BB51" s="1067">
        <f t="shared" si="10"/>
        <v>12</v>
      </c>
      <c r="BC51" s="1067">
        <f t="shared" si="10"/>
        <v>11</v>
      </c>
      <c r="BD51" s="1067">
        <f t="shared" si="10"/>
        <v>4</v>
      </c>
      <c r="BE51" s="1067">
        <f t="shared" si="10"/>
        <v>8</v>
      </c>
      <c r="BF51" s="1067">
        <f t="shared" si="10"/>
        <v>8</v>
      </c>
      <c r="BG51" s="1067">
        <f t="shared" si="10"/>
        <v>7</v>
      </c>
      <c r="BH51" s="1067">
        <f t="shared" si="10"/>
        <v>10</v>
      </c>
      <c r="BI51" s="1067">
        <f t="shared" si="10"/>
        <v>6</v>
      </c>
      <c r="BJ51" s="1067">
        <f t="shared" si="10"/>
        <v>7</v>
      </c>
      <c r="BK51" s="1067">
        <f t="shared" si="10"/>
        <v>11</v>
      </c>
      <c r="BL51" s="1067">
        <f t="shared" si="10"/>
        <v>137</v>
      </c>
      <c r="BM51" s="1067">
        <f t="shared" si="10"/>
        <v>10</v>
      </c>
      <c r="BN51" s="1067">
        <f t="shared" si="10"/>
        <v>5</v>
      </c>
      <c r="BO51" s="1067">
        <f t="shared" si="10"/>
        <v>0</v>
      </c>
      <c r="BP51" s="1067">
        <f t="shared" si="10"/>
        <v>0</v>
      </c>
      <c r="BQ51" s="1067">
        <f t="shared" ref="BQ51:DA51" si="11">SUM(BQ2:BQ50)</f>
        <v>0</v>
      </c>
      <c r="BR51" s="1067">
        <f t="shared" si="11"/>
        <v>23</v>
      </c>
      <c r="BS51" s="1067">
        <f t="shared" si="11"/>
        <v>22</v>
      </c>
      <c r="BT51" s="1067">
        <f t="shared" si="11"/>
        <v>9</v>
      </c>
      <c r="BU51" s="1067">
        <f t="shared" si="11"/>
        <v>11</v>
      </c>
      <c r="BV51" s="1067">
        <f t="shared" si="11"/>
        <v>14</v>
      </c>
      <c r="BW51" s="1067">
        <f t="shared" si="11"/>
        <v>7</v>
      </c>
      <c r="BX51" s="1067">
        <f t="shared" si="11"/>
        <v>9</v>
      </c>
      <c r="BY51" s="1067">
        <f t="shared" si="11"/>
        <v>9</v>
      </c>
      <c r="BZ51" s="1067">
        <f t="shared" si="11"/>
        <v>6</v>
      </c>
      <c r="CA51" s="1067">
        <f t="shared" si="11"/>
        <v>12</v>
      </c>
      <c r="CB51" s="1067">
        <f t="shared" si="11"/>
        <v>12</v>
      </c>
      <c r="CC51" s="1067">
        <f t="shared" si="11"/>
        <v>11</v>
      </c>
      <c r="CD51" s="1067">
        <f t="shared" si="11"/>
        <v>8</v>
      </c>
      <c r="CE51" s="1067">
        <f t="shared" si="11"/>
        <v>9</v>
      </c>
      <c r="CF51" s="1067">
        <f t="shared" si="11"/>
        <v>11</v>
      </c>
      <c r="CG51" s="1067">
        <f t="shared" si="11"/>
        <v>12</v>
      </c>
      <c r="CH51" s="1067">
        <f t="shared" si="11"/>
        <v>5</v>
      </c>
      <c r="CI51" s="1067">
        <f t="shared" si="11"/>
        <v>11</v>
      </c>
      <c r="CJ51" s="1067">
        <f t="shared" si="11"/>
        <v>216</v>
      </c>
      <c r="CK51" s="1067">
        <f t="shared" si="11"/>
        <v>9</v>
      </c>
      <c r="CL51" s="1067">
        <f t="shared" si="11"/>
        <v>0</v>
      </c>
      <c r="CM51" s="1067">
        <f t="shared" si="11"/>
        <v>13</v>
      </c>
      <c r="CN51" s="1067">
        <f t="shared" si="11"/>
        <v>13</v>
      </c>
      <c r="CO51" s="1067">
        <f t="shared" si="11"/>
        <v>13</v>
      </c>
      <c r="CP51" s="1067">
        <f t="shared" si="11"/>
        <v>11</v>
      </c>
      <c r="CQ51" s="1067">
        <f t="shared" si="11"/>
        <v>11</v>
      </c>
      <c r="CR51" s="1067">
        <f t="shared" si="11"/>
        <v>11</v>
      </c>
      <c r="CS51" s="1067">
        <f t="shared" si="11"/>
        <v>11</v>
      </c>
      <c r="CT51" s="1067">
        <f t="shared" si="11"/>
        <v>11</v>
      </c>
      <c r="CU51" s="1067">
        <f t="shared" si="11"/>
        <v>10</v>
      </c>
      <c r="CV51" s="1067">
        <f t="shared" si="11"/>
        <v>8</v>
      </c>
      <c r="CW51" s="1067">
        <f t="shared" si="11"/>
        <v>12</v>
      </c>
      <c r="CX51" s="1067">
        <f t="shared" si="11"/>
        <v>7</v>
      </c>
      <c r="CY51" s="1067">
        <f t="shared" si="11"/>
        <v>12</v>
      </c>
      <c r="CZ51" s="1067">
        <f t="shared" si="11"/>
        <v>13</v>
      </c>
      <c r="DA51" s="1067">
        <f t="shared" si="11"/>
        <v>9</v>
      </c>
    </row>
    <row r="52" spans="1:105" hidden="1" x14ac:dyDescent="0.3">
      <c r="C52" s="1063"/>
    </row>
  </sheetData>
  <mergeCells count="3">
    <mergeCell ref="B2:B13"/>
    <mergeCell ref="B14:B41"/>
    <mergeCell ref="B42:B51"/>
  </mergeCells>
  <conditionalFormatting sqref="A1:A1048576">
    <cfRule type="cellIs" dxfId="50" priority="1" operator="greaterThan">
      <formula>20</formula>
    </cfRule>
  </conditionalFormatting>
  <conditionalFormatting sqref="D2:Y13 AA2:AR13 AT2:BK13 BM2:CI13 CK2:DA13">
    <cfRule type="cellIs" dxfId="49" priority="12" operator="equal">
      <formula>1</formula>
    </cfRule>
  </conditionalFormatting>
  <conditionalFormatting sqref="D42:Y50 AA42:AR50 AT42:BK50 BM42:CI50">
    <cfRule type="cellIs" dxfId="48" priority="3" operator="equal">
      <formula>1</formula>
    </cfRule>
  </conditionalFormatting>
  <conditionalFormatting sqref="D51:DA51">
    <cfRule type="cellIs" dxfId="47" priority="11" operator="equal">
      <formula>1</formula>
    </cfRule>
  </conditionalFormatting>
  <conditionalFormatting sqref="AT14:BK41">
    <cfRule type="cellIs" dxfId="46" priority="9" operator="equal">
      <formula>1</formula>
    </cfRule>
  </conditionalFormatting>
  <conditionalFormatting sqref="BM14:BW41">
    <cfRule type="cellIs" dxfId="45" priority="5" operator="equal">
      <formula>1</formula>
    </cfRule>
  </conditionalFormatting>
  <conditionalFormatting sqref="CD14:CD20 CM14:CM23 CO14:CO23 CZ14:CZ23 D14:Y41 AA14:AR41 BY14:CC41 CE14:CI41 CK14:CL41 CN14:CN41 CP14:CY41 DA14:DA41 BX15:BX41 CD22:CD41 CM25:CM41 CO25:CO41 CZ25:CZ41">
    <cfRule type="cellIs" dxfId="44" priority="8" operator="equal">
      <formula>1</formula>
    </cfRule>
  </conditionalFormatting>
  <conditionalFormatting sqref="CK42:DA50">
    <cfRule type="cellIs" dxfId="43" priority="2" operator="equal">
      <formula>1</formula>
    </cfRule>
  </conditionalFormatting>
  <dataValidations count="1">
    <dataValidation type="custom" allowBlank="1" showInputMessage="1" showErrorMessage="1" errorTitle="Wartość nieprawidłowa" error="Jeśli efekt jest realizowany- proszę wprowadzić cyfrę 1" promptTitle="Wybór efektu" prompt="Jeśli efekt jest realizowany- proszę wprowadzić cyfrę 1" sqref="CO14:CO23 CM2:CM23 CN2:DA13 CN14:CN40 CO25:CO40 BX2:BX13 CD2:CD20 CZ14:CZ23 DA14:DA41 CZ25:CZ41 CN41:CY41 CP14:CY40 CE2:CI50 BX15:BX51 BM2:BW50 CD22:CD51 CM25:CM51 CK2:CL50 AT2:BK50 E2:Y50 D2:D51 AA2:AR50 E51:BW51 BY2:CC51 CE51:CL51 CN42:DA51" xr:uid="{B58CA181-ED08-471C-99DC-5562FAD836C6}">
      <formula1>1</formula1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72A3A-7ABA-4A7D-AE20-31791D2A2C87}">
  <sheetPr codeName="Arkusz6"/>
  <dimension ref="A2:CH131"/>
  <sheetViews>
    <sheetView zoomScale="55" zoomScaleNormal="55" workbookViewId="0">
      <pane xSplit="19" ySplit="19" topLeftCell="T20" activePane="bottomRight" state="frozen"/>
      <selection activeCell="M31" sqref="M31"/>
      <selection pane="topRight" activeCell="M31" sqref="M31"/>
      <selection pane="bottomLeft" activeCell="M31" sqref="M31"/>
      <selection pane="bottomRight" activeCell="I107" sqref="I107"/>
    </sheetView>
  </sheetViews>
  <sheetFormatPr defaultColWidth="8.85546875" defaultRowHeight="15" x14ac:dyDescent="0.25"/>
  <cols>
    <col min="1" max="1" width="5.42578125" customWidth="1"/>
    <col min="2" max="2" width="6.7109375" customWidth="1"/>
    <col min="3" max="3" width="12.140625" customWidth="1"/>
    <col min="4" max="4" width="6.7109375" customWidth="1"/>
    <col min="5" max="5" width="6.7109375" style="8" customWidth="1"/>
    <col min="6" max="6" width="12.42578125" customWidth="1"/>
    <col min="7" max="7" width="7.140625" customWidth="1"/>
    <col min="8" max="8" width="19.42578125" style="4" customWidth="1"/>
    <col min="9" max="9" width="33.42578125" style="4" customWidth="1"/>
    <col min="10" max="10" width="14.42578125" style="4" customWidth="1"/>
    <col min="11" max="11" width="12" customWidth="1"/>
    <col min="12" max="12" width="6.85546875" style="4" customWidth="1"/>
    <col min="13" max="13" width="5.28515625" style="4" customWidth="1"/>
    <col min="14" max="14" width="11.85546875" style="4" customWidth="1"/>
    <col min="15" max="15" width="6.7109375" style="4" customWidth="1"/>
    <col min="16" max="16" width="6.42578125" style="4" customWidth="1"/>
    <col min="17" max="19" width="5.85546875" style="4" customWidth="1"/>
    <col min="20" max="68" width="4.28515625" customWidth="1"/>
    <col min="83" max="83" width="13.28515625" customWidth="1"/>
    <col min="84" max="85" width="11.7109375" customWidth="1"/>
    <col min="86" max="86" width="15.42578125" customWidth="1"/>
  </cols>
  <sheetData>
    <row r="2" spans="1:19" ht="21" x14ac:dyDescent="0.35">
      <c r="G2" s="1362" t="s">
        <v>128</v>
      </c>
      <c r="H2" s="1362"/>
      <c r="I2" s="1362"/>
      <c r="J2" s="149"/>
      <c r="K2" s="149"/>
    </row>
    <row r="5" spans="1:19" ht="18.75" x14ac:dyDescent="0.3">
      <c r="G5" s="29" t="s">
        <v>23</v>
      </c>
      <c r="H5" s="28"/>
      <c r="I5" s="3" t="s">
        <v>136</v>
      </c>
      <c r="J5" s="94"/>
    </row>
    <row r="6" spans="1:19" ht="18.75" x14ac:dyDescent="0.3">
      <c r="G6" s="29" t="s">
        <v>24</v>
      </c>
      <c r="H6" s="28"/>
      <c r="I6" s="3" t="s">
        <v>439</v>
      </c>
      <c r="J6" s="94"/>
    </row>
    <row r="7" spans="1:19" x14ac:dyDescent="0.25">
      <c r="G7" s="23" t="s">
        <v>27</v>
      </c>
      <c r="H7" s="24"/>
      <c r="I7" s="73" t="s">
        <v>658</v>
      </c>
    </row>
    <row r="8" spans="1:19" ht="18.75" x14ac:dyDescent="0.3">
      <c r="G8" s="23" t="s">
        <v>44</v>
      </c>
      <c r="H8" s="24"/>
      <c r="I8" s="3" t="s">
        <v>659</v>
      </c>
      <c r="J8" s="94"/>
    </row>
    <row r="9" spans="1:19" x14ac:dyDescent="0.25">
      <c r="G9" s="23" t="s">
        <v>46</v>
      </c>
      <c r="H9" s="24"/>
      <c r="I9" s="3" t="s">
        <v>137</v>
      </c>
    </row>
    <row r="10" spans="1:19" x14ac:dyDescent="0.25">
      <c r="G10" s="23" t="s">
        <v>25</v>
      </c>
      <c r="H10" s="24"/>
      <c r="I10" s="3" t="s">
        <v>138</v>
      </c>
      <c r="J10" s="9"/>
      <c r="L10" s="9"/>
      <c r="M10" s="9"/>
      <c r="N10" s="6"/>
      <c r="O10" s="9"/>
      <c r="P10" s="9"/>
    </row>
    <row r="11" spans="1:19" x14ac:dyDescent="0.25">
      <c r="G11" s="2" t="s">
        <v>47</v>
      </c>
      <c r="H11" s="24"/>
      <c r="I11" s="24">
        <v>10</v>
      </c>
    </row>
    <row r="12" spans="1:19" x14ac:dyDescent="0.25">
      <c r="G12" s="2" t="s">
        <v>48</v>
      </c>
      <c r="H12" s="24"/>
      <c r="I12" s="74">
        <v>4715</v>
      </c>
    </row>
    <row r="13" spans="1:19" x14ac:dyDescent="0.25">
      <c r="G13" s="2" t="s">
        <v>49</v>
      </c>
      <c r="H13" s="24"/>
      <c r="I13" s="24">
        <v>300</v>
      </c>
    </row>
    <row r="14" spans="1:19" x14ac:dyDescent="0.25">
      <c r="H14" s="10"/>
      <c r="I14" s="10"/>
    </row>
    <row r="15" spans="1:19" ht="15.75" thickBot="1" x14ac:dyDescent="0.3">
      <c r="J15" s="10"/>
      <c r="L15" s="10"/>
      <c r="M15" s="10"/>
      <c r="N15" s="10"/>
      <c r="O15" s="10"/>
      <c r="P15" s="10"/>
    </row>
    <row r="16" spans="1:19" ht="24" customHeight="1" x14ac:dyDescent="0.25">
      <c r="A16" s="1363" t="s">
        <v>1</v>
      </c>
      <c r="B16" s="1365" t="s">
        <v>40</v>
      </c>
      <c r="C16" s="1365" t="s">
        <v>50</v>
      </c>
      <c r="D16" s="1365" t="s">
        <v>51</v>
      </c>
      <c r="E16" s="1365" t="s">
        <v>32</v>
      </c>
      <c r="F16" s="1365" t="s">
        <v>33</v>
      </c>
      <c r="G16" s="1365" t="s">
        <v>132</v>
      </c>
      <c r="H16" s="1365" t="s">
        <v>104</v>
      </c>
      <c r="I16" s="1365" t="s">
        <v>2</v>
      </c>
      <c r="J16" s="1336" t="s">
        <v>28</v>
      </c>
      <c r="K16" s="1336"/>
      <c r="L16" s="1336"/>
      <c r="M16" s="1336"/>
      <c r="N16" s="1336"/>
      <c r="O16" s="1336"/>
      <c r="P16" s="1337"/>
      <c r="Q16" s="1338" t="s">
        <v>127</v>
      </c>
      <c r="R16" s="1339"/>
      <c r="S16" s="1340"/>
    </row>
    <row r="17" spans="1:86" ht="27.75" customHeight="1" thickBot="1" x14ac:dyDescent="0.3">
      <c r="A17" s="1364"/>
      <c r="B17" s="1366"/>
      <c r="C17" s="1366"/>
      <c r="D17" s="1366"/>
      <c r="E17" s="1366"/>
      <c r="F17" s="1366"/>
      <c r="G17" s="1366"/>
      <c r="H17" s="1366"/>
      <c r="I17" s="1366"/>
      <c r="J17" s="1344" t="s">
        <v>69</v>
      </c>
      <c r="K17" s="1344"/>
      <c r="L17" s="1344"/>
      <c r="M17" s="1344"/>
      <c r="N17" s="1345"/>
      <c r="O17" s="1346" t="s">
        <v>129</v>
      </c>
      <c r="P17" s="1349" t="s">
        <v>130</v>
      </c>
      <c r="Q17" s="1341"/>
      <c r="R17" s="1342"/>
      <c r="S17" s="1343"/>
    </row>
    <row r="18" spans="1:86" ht="78.75" customHeight="1" thickBot="1" x14ac:dyDescent="0.3">
      <c r="A18" s="1364"/>
      <c r="B18" s="1366"/>
      <c r="C18" s="1366"/>
      <c r="D18" s="1366"/>
      <c r="E18" s="1366"/>
      <c r="F18" s="1366"/>
      <c r="G18" s="1366"/>
      <c r="H18" s="1366"/>
      <c r="I18" s="1366"/>
      <c r="J18" s="1352" t="s">
        <v>71</v>
      </c>
      <c r="K18" s="1354" t="s">
        <v>68</v>
      </c>
      <c r="L18" s="1356" t="s">
        <v>72</v>
      </c>
      <c r="M18" s="1358" t="s">
        <v>131</v>
      </c>
      <c r="N18" s="1360" t="s">
        <v>70</v>
      </c>
      <c r="O18" s="1347"/>
      <c r="P18" s="1350"/>
      <c r="Q18" s="1322" t="s">
        <v>124</v>
      </c>
      <c r="R18" s="1324" t="s">
        <v>125</v>
      </c>
      <c r="S18" s="1326" t="s">
        <v>126</v>
      </c>
      <c r="T18" s="1371" t="s">
        <v>124</v>
      </c>
      <c r="U18" s="1372"/>
      <c r="V18" s="1372"/>
      <c r="W18" s="1372"/>
      <c r="X18" s="1372"/>
      <c r="Y18" s="1372"/>
      <c r="Z18" s="1372"/>
      <c r="AA18" s="1372"/>
      <c r="AB18" s="1372"/>
      <c r="AC18" s="1372"/>
      <c r="AD18" s="1372"/>
      <c r="AE18" s="1372"/>
      <c r="AF18" s="1331" t="s">
        <v>414</v>
      </c>
      <c r="AG18" s="1332"/>
      <c r="AH18" s="1332"/>
      <c r="AI18" s="1332"/>
      <c r="AJ18" s="1332"/>
      <c r="AK18" s="1332"/>
      <c r="AL18" s="1332"/>
      <c r="AM18" s="1332"/>
      <c r="AN18" s="1332"/>
      <c r="AO18" s="1332"/>
      <c r="AP18" s="1332"/>
      <c r="AQ18" s="1332"/>
      <c r="AR18" s="1332"/>
      <c r="AS18" s="1332"/>
      <c r="AT18" s="1332"/>
      <c r="AU18" s="1332"/>
      <c r="AV18" s="1332"/>
      <c r="AW18" s="1332"/>
      <c r="AX18" s="1332"/>
      <c r="AY18" s="1332"/>
      <c r="AZ18" s="1332"/>
      <c r="BA18" s="1332"/>
      <c r="BB18" s="1332"/>
      <c r="BC18" s="1332"/>
      <c r="BD18" s="1332"/>
      <c r="BE18" s="1332"/>
      <c r="BF18" s="1332"/>
      <c r="BG18" s="1332"/>
      <c r="BH18" s="1333" t="s">
        <v>126</v>
      </c>
      <c r="BI18" s="1334"/>
      <c r="BJ18" s="1334"/>
      <c r="BK18" s="1334"/>
      <c r="BL18" s="1334"/>
      <c r="BM18" s="1334"/>
      <c r="BN18" s="1334"/>
      <c r="BO18" s="1334"/>
      <c r="BP18" s="1335"/>
      <c r="BQ18" s="1320" t="s">
        <v>133</v>
      </c>
      <c r="BR18" s="1320"/>
      <c r="BS18" s="1320"/>
      <c r="BT18" s="1320"/>
      <c r="BU18" s="1320"/>
      <c r="BV18" s="1320"/>
      <c r="BW18" s="1320"/>
      <c r="BX18" s="1320"/>
      <c r="BY18" s="1320"/>
      <c r="BZ18" s="1320"/>
      <c r="CA18" s="1320"/>
      <c r="CB18" s="1320"/>
      <c r="CC18" s="1321"/>
      <c r="CE18" s="1370" t="s">
        <v>665</v>
      </c>
      <c r="CF18" s="1370"/>
      <c r="CG18" s="1370"/>
      <c r="CH18" s="1370"/>
    </row>
    <row r="19" spans="1:86" s="92" customFormat="1" ht="46.5" customHeight="1" thickBot="1" x14ac:dyDescent="0.3">
      <c r="A19" s="233"/>
      <c r="B19" s="234"/>
      <c r="C19" s="234"/>
      <c r="D19" s="234"/>
      <c r="E19" s="234"/>
      <c r="F19" s="234"/>
      <c r="G19" s="234"/>
      <c r="H19" s="235"/>
      <c r="I19" s="234"/>
      <c r="J19" s="1353"/>
      <c r="K19" s="1355"/>
      <c r="L19" s="1357"/>
      <c r="M19" s="1359"/>
      <c r="N19" s="1361"/>
      <c r="O19" s="1348"/>
      <c r="P19" s="1351"/>
      <c r="Q19" s="1323"/>
      <c r="R19" s="1325"/>
      <c r="S19" s="1327"/>
      <c r="T19" s="181" t="s">
        <v>139</v>
      </c>
      <c r="U19" s="182" t="s">
        <v>141</v>
      </c>
      <c r="V19" s="182" t="s">
        <v>143</v>
      </c>
      <c r="W19" s="182" t="s">
        <v>145</v>
      </c>
      <c r="X19" s="182" t="s">
        <v>147</v>
      </c>
      <c r="Y19" s="182" t="s">
        <v>149</v>
      </c>
      <c r="Z19" s="182" t="s">
        <v>151</v>
      </c>
      <c r="AA19" s="182" t="s">
        <v>153</v>
      </c>
      <c r="AB19" s="182" t="s">
        <v>155</v>
      </c>
      <c r="AC19" s="182" t="s">
        <v>157</v>
      </c>
      <c r="AD19" s="182" t="s">
        <v>159</v>
      </c>
      <c r="AE19" s="182" t="s">
        <v>161</v>
      </c>
      <c r="AF19" s="183" t="s">
        <v>267</v>
      </c>
      <c r="AG19" s="184" t="s">
        <v>269</v>
      </c>
      <c r="AH19" s="184" t="s">
        <v>271</v>
      </c>
      <c r="AI19" s="184" t="s">
        <v>273</v>
      </c>
      <c r="AJ19" s="184" t="s">
        <v>275</v>
      </c>
      <c r="AK19" s="184" t="s">
        <v>277</v>
      </c>
      <c r="AL19" s="184" t="s">
        <v>279</v>
      </c>
      <c r="AM19" s="184" t="s">
        <v>281</v>
      </c>
      <c r="AN19" s="184" t="s">
        <v>283</v>
      </c>
      <c r="AO19" s="184" t="s">
        <v>285</v>
      </c>
      <c r="AP19" s="184" t="s">
        <v>287</v>
      </c>
      <c r="AQ19" s="184" t="s">
        <v>289</v>
      </c>
      <c r="AR19" s="184" t="s">
        <v>291</v>
      </c>
      <c r="AS19" s="184" t="s">
        <v>293</v>
      </c>
      <c r="AT19" s="184" t="s">
        <v>295</v>
      </c>
      <c r="AU19" s="184" t="s">
        <v>297</v>
      </c>
      <c r="AV19" s="184" t="s">
        <v>299</v>
      </c>
      <c r="AW19" s="184" t="s">
        <v>301</v>
      </c>
      <c r="AX19" s="184" t="s">
        <v>303</v>
      </c>
      <c r="AY19" s="184" t="s">
        <v>305</v>
      </c>
      <c r="AZ19" s="184" t="s">
        <v>307</v>
      </c>
      <c r="BA19" s="184" t="s">
        <v>309</v>
      </c>
      <c r="BB19" s="184" t="s">
        <v>311</v>
      </c>
      <c r="BC19" s="184" t="s">
        <v>313</v>
      </c>
      <c r="BD19" s="184" t="s">
        <v>315</v>
      </c>
      <c r="BE19" s="184" t="s">
        <v>317</v>
      </c>
      <c r="BF19" s="184" t="s">
        <v>319</v>
      </c>
      <c r="BG19" s="184" t="s">
        <v>321</v>
      </c>
      <c r="BH19" s="185" t="s">
        <v>391</v>
      </c>
      <c r="BI19" s="186" t="s">
        <v>393</v>
      </c>
      <c r="BJ19" s="186" t="s">
        <v>395</v>
      </c>
      <c r="BK19" s="186" t="s">
        <v>397</v>
      </c>
      <c r="BL19" s="186" t="s">
        <v>399</v>
      </c>
      <c r="BM19" s="186" t="s">
        <v>401</v>
      </c>
      <c r="BN19" s="186" t="s">
        <v>403</v>
      </c>
      <c r="BO19" s="186" t="s">
        <v>405</v>
      </c>
      <c r="BP19" s="186" t="s">
        <v>407</v>
      </c>
      <c r="BQ19" s="152"/>
      <c r="BR19" s="152"/>
      <c r="BS19" s="152"/>
      <c r="BT19" s="152"/>
      <c r="BU19" s="152"/>
      <c r="BV19" s="152"/>
      <c r="BW19" s="152"/>
      <c r="BX19" s="152"/>
      <c r="BY19" s="152"/>
      <c r="BZ19" s="152"/>
      <c r="CA19" s="152"/>
      <c r="CB19" s="152"/>
      <c r="CC19" s="153"/>
      <c r="CE19" s="605" t="s">
        <v>660</v>
      </c>
      <c r="CF19" s="605" t="s">
        <v>661</v>
      </c>
      <c r="CG19" s="605" t="s">
        <v>662</v>
      </c>
      <c r="CH19" s="606" t="s">
        <v>663</v>
      </c>
    </row>
    <row r="20" spans="1:86" s="44" customFormat="1" ht="30" customHeight="1" x14ac:dyDescent="0.25">
      <c r="A20" s="32">
        <f>Psychologia!A20</f>
        <v>1</v>
      </c>
      <c r="B20" s="127" t="str">
        <f>IF(Psychologia!B20&gt;0,Psychologia!B20," ")</f>
        <v xml:space="preserve"> </v>
      </c>
      <c r="C20" s="128" t="str">
        <f>IF(Psychologia!C20&gt;0,Psychologia!C20," ")</f>
        <v>2026/2027</v>
      </c>
      <c r="D20" s="128" t="str">
        <f>IF(Psychologia!D20&gt;0,Psychologia!D20," ")</f>
        <v xml:space="preserve"> </v>
      </c>
      <c r="E20" s="127">
        <f>IF(Psychologia!E20&gt;0,Psychologia!E20," ")</f>
        <v>1</v>
      </c>
      <c r="F20" s="32" t="str">
        <f>IF(Psychologia!F20&gt;0,Psychologia!F20," ")</f>
        <v>2026/2027</v>
      </c>
      <c r="G20" s="32" t="str">
        <f>IF(Psychologia!G20&gt;0,Psychologia!G20," ")</f>
        <v>RPS</v>
      </c>
      <c r="H20" s="122" t="str">
        <f>IF(Psychologia!H20&gt;0,Psychologia!H20," ")</f>
        <v xml:space="preserve"> </v>
      </c>
      <c r="I20" s="122" t="str">
        <f>IF(Psychologia!I20&gt;0,Psychologia!I20," ")</f>
        <v>Biologiczne uwarunkowania procesów psychicznych</v>
      </c>
      <c r="J20" s="123">
        <f>Psychologia!Y20+Psychologia!AV20</f>
        <v>100</v>
      </c>
      <c r="K20" s="124">
        <f>Psychologia!AS20+Psychologia!BP20</f>
        <v>40</v>
      </c>
      <c r="L20" s="125">
        <f>Psychologia!Z20+Psychologia!AW20</f>
        <v>60</v>
      </c>
      <c r="M20" s="126">
        <f>Psychologia!AB20+Psychologia!AD20+Psychologia!AY20+Psychologia!BA20</f>
        <v>30</v>
      </c>
      <c r="N20" s="220">
        <f>Psychologia!AA20+Psychologia!AX20</f>
        <v>60</v>
      </c>
      <c r="O20" s="232">
        <f>Psychologia!X20+Psychologia!AU20</f>
        <v>4</v>
      </c>
      <c r="P20" s="128" t="str">
        <f>IF(Psychologia!V20&gt;0,Psychologia!V20," ")</f>
        <v>egz</v>
      </c>
      <c r="Q20" s="150">
        <f t="shared" ref="Q20:Q41" si="0">SUM(T20:AE20)</f>
        <v>0</v>
      </c>
      <c r="R20" s="135">
        <f t="shared" ref="R20:R41" si="1">SUM(AF20:BG20)</f>
        <v>0</v>
      </c>
      <c r="S20" s="161">
        <f t="shared" ref="S20:S41" si="2">SUM(BH20:BP20)</f>
        <v>0</v>
      </c>
      <c r="T20" s="130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30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347"/>
      <c r="BE20" s="347"/>
      <c r="BF20" s="347"/>
      <c r="BG20" s="347"/>
      <c r="BH20" s="130"/>
      <c r="BI20" s="129"/>
      <c r="BJ20" s="129"/>
      <c r="BK20" s="347"/>
      <c r="BL20" s="347"/>
      <c r="BM20" s="347"/>
      <c r="BN20" s="347"/>
      <c r="BO20" s="347"/>
      <c r="BP20" s="134"/>
      <c r="CE20" s="118"/>
      <c r="CF20" s="118"/>
      <c r="CG20" s="118"/>
      <c r="CH20" s="46"/>
    </row>
    <row r="21" spans="1:86" s="44" customFormat="1" ht="48" customHeight="1" x14ac:dyDescent="0.25">
      <c r="A21" s="32">
        <f>Psychologia!A21</f>
        <v>2</v>
      </c>
      <c r="B21" s="127" t="str">
        <f>IF(Psychologia!B21&gt;0,Psychologia!B21," ")</f>
        <v xml:space="preserve"> </v>
      </c>
      <c r="C21" s="128" t="str">
        <f>IF(Psychologia!C21&gt;0,Psychologia!C21," ")</f>
        <v>2026/2027</v>
      </c>
      <c r="D21" s="128" t="str">
        <f>IF(Psychologia!D21&gt;0,Psychologia!D21," ")</f>
        <v xml:space="preserve"> </v>
      </c>
      <c r="E21" s="127">
        <f>IF(Psychologia!E21&gt;0,Psychologia!E21," ")</f>
        <v>1</v>
      </c>
      <c r="F21" s="32" t="str">
        <f>IF(Psychologia!F21&gt;0,Psychologia!F21," ")</f>
        <v>2026/2027</v>
      </c>
      <c r="G21" s="32" t="str">
        <f>IF(Psychologia!G21&gt;0,Psychologia!G21," ")</f>
        <v>RPS</v>
      </c>
      <c r="H21" s="122" t="str">
        <f>IF(Psychologia!H21&gt;0,Psychologia!H21," ")</f>
        <v xml:space="preserve"> </v>
      </c>
      <c r="I21" s="122" t="str">
        <f>IF(Psychologia!I21&gt;0,Psychologia!I21," ")</f>
        <v>Podejście evidence based w psychologii</v>
      </c>
      <c r="J21" s="123">
        <f>Psychologia!Y21+Psychologia!AV21</f>
        <v>25</v>
      </c>
      <c r="K21" s="124">
        <f>Psychologia!AS21+Psychologia!BP21</f>
        <v>0</v>
      </c>
      <c r="L21" s="125">
        <f>Psychologia!Z21+Psychologia!AW21</f>
        <v>25</v>
      </c>
      <c r="M21" s="126">
        <f>Psychologia!AB21+Psychologia!AD21+Psychologia!AY21+Psychologia!BA21</f>
        <v>25</v>
      </c>
      <c r="N21" s="220">
        <f>Psychologia!AA21+Psychologia!AX21</f>
        <v>25</v>
      </c>
      <c r="O21" s="232">
        <f>Psychologia!X21+Psychologia!AU21</f>
        <v>1</v>
      </c>
      <c r="P21" s="128" t="str">
        <f>IF(Psychologia!V21&gt;0,Psychologia!V21," ")</f>
        <v>zal/o</v>
      </c>
      <c r="Q21" s="150">
        <f t="shared" si="0"/>
        <v>0</v>
      </c>
      <c r="R21" s="135">
        <f t="shared" si="1"/>
        <v>0</v>
      </c>
      <c r="S21" s="161">
        <f t="shared" si="2"/>
        <v>0</v>
      </c>
      <c r="T21" s="132"/>
      <c r="U21" s="131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2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/>
      <c r="BA21" s="131"/>
      <c r="BB21" s="131"/>
      <c r="BC21" s="131"/>
      <c r="BD21" s="348"/>
      <c r="BE21" s="348"/>
      <c r="BF21" s="348"/>
      <c r="BG21" s="348"/>
      <c r="BH21" s="132"/>
      <c r="BI21" s="131"/>
      <c r="BJ21" s="131"/>
      <c r="BK21" s="348"/>
      <c r="BL21" s="348"/>
      <c r="BM21" s="348"/>
      <c r="BN21" s="348"/>
      <c r="BO21" s="348"/>
      <c r="BP21" s="133"/>
      <c r="CE21" s="118"/>
      <c r="CF21" s="118"/>
      <c r="CG21" s="118"/>
      <c r="CH21" s="46"/>
    </row>
    <row r="22" spans="1:86" s="44" customFormat="1" ht="30" customHeight="1" x14ac:dyDescent="0.25">
      <c r="A22" s="32">
        <f>Psychologia!A22</f>
        <v>3</v>
      </c>
      <c r="B22" s="127" t="str">
        <f>IF(Psychologia!B22&gt;0,Psychologia!B22," ")</f>
        <v xml:space="preserve"> </v>
      </c>
      <c r="C22" s="128" t="str">
        <f>IF(Psychologia!C22&gt;0,Psychologia!C22," ")</f>
        <v>2026/2027</v>
      </c>
      <c r="D22" s="128" t="str">
        <f>IF(Psychologia!D22&gt;0,Psychologia!D22," ")</f>
        <v xml:space="preserve"> </v>
      </c>
      <c r="E22" s="127">
        <f>IF(Psychologia!E22&gt;0,Psychologia!E22," ")</f>
        <v>1</v>
      </c>
      <c r="F22" s="32" t="str">
        <f>IF(Psychologia!F22&gt;0,Psychologia!F22," ")</f>
        <v>2026/2027</v>
      </c>
      <c r="G22" s="32" t="str">
        <f>IF(Psychologia!G22&gt;0,Psychologia!G22," ")</f>
        <v>RPS</v>
      </c>
      <c r="H22" s="122" t="str">
        <f>IF(Psychologia!H22&gt;0,Psychologia!H22," ")</f>
        <v xml:space="preserve"> </v>
      </c>
      <c r="I22" s="122" t="str">
        <f>IF(Psychologia!I22&gt;0,Psychologia!I22," ")</f>
        <v>Filozofia z logiką</v>
      </c>
      <c r="J22" s="123">
        <f>Psychologia!Y22+Psychologia!AV22</f>
        <v>125</v>
      </c>
      <c r="K22" s="124">
        <f>Psychologia!AS22+Psychologia!BP22</f>
        <v>75</v>
      </c>
      <c r="L22" s="125">
        <f>Psychologia!Z22+Psychologia!AW22</f>
        <v>50</v>
      </c>
      <c r="M22" s="126">
        <f>Psychologia!AB22+Psychologia!AD22+Psychologia!AY22+Psychologia!BA22</f>
        <v>30</v>
      </c>
      <c r="N22" s="220">
        <f>Psychologia!AA22+Psychologia!AX22</f>
        <v>50</v>
      </c>
      <c r="O22" s="232">
        <f>Psychologia!X22+Psychologia!AU22</f>
        <v>5</v>
      </c>
      <c r="P22" s="128" t="str">
        <f>IF(Psychologia!V22&gt;0,Psychologia!V22," ")</f>
        <v>egz</v>
      </c>
      <c r="Q22" s="150">
        <f t="shared" si="0"/>
        <v>0</v>
      </c>
      <c r="R22" s="135">
        <f t="shared" si="1"/>
        <v>0</v>
      </c>
      <c r="S22" s="161">
        <f t="shared" si="2"/>
        <v>0</v>
      </c>
      <c r="T22" s="132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2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348"/>
      <c r="BE22" s="348"/>
      <c r="BF22" s="348"/>
      <c r="BG22" s="348"/>
      <c r="BH22" s="132"/>
      <c r="BI22" s="131"/>
      <c r="BJ22" s="131"/>
      <c r="BK22" s="348"/>
      <c r="BL22" s="348"/>
      <c r="BM22" s="348"/>
      <c r="BN22" s="348"/>
      <c r="BO22" s="348"/>
      <c r="BP22" s="133"/>
      <c r="CE22" s="118"/>
      <c r="CF22" s="118"/>
      <c r="CG22" s="118"/>
      <c r="CH22" s="46"/>
    </row>
    <row r="23" spans="1:86" s="44" customFormat="1" ht="30" customHeight="1" x14ac:dyDescent="0.25">
      <c r="A23" s="32">
        <f>Psychologia!A23</f>
        <v>4</v>
      </c>
      <c r="B23" s="127" t="str">
        <f>IF(Psychologia!B23&gt;0,Psychologia!B23," ")</f>
        <v xml:space="preserve"> </v>
      </c>
      <c r="C23" s="128" t="str">
        <f>IF(Psychologia!C23&gt;0,Psychologia!C23," ")</f>
        <v>2026/2027</v>
      </c>
      <c r="D23" s="128" t="str">
        <f>IF(Psychologia!D23&gt;0,Psychologia!D23," ")</f>
        <v xml:space="preserve"> </v>
      </c>
      <c r="E23" s="127">
        <f>IF(Psychologia!E23&gt;0,Psychologia!E23," ")</f>
        <v>1</v>
      </c>
      <c r="F23" s="32" t="str">
        <f>IF(Psychologia!F23&gt;0,Psychologia!F23," ")</f>
        <v>2026/2027</v>
      </c>
      <c r="G23" s="32" t="str">
        <f>IF(Psychologia!G23&gt;0,Psychologia!G23," ")</f>
        <v>RPS</v>
      </c>
      <c r="H23" s="122" t="str">
        <f>IF(Psychologia!H23&gt;0,Psychologia!H23," ")</f>
        <v xml:space="preserve"> </v>
      </c>
      <c r="I23" s="122" t="str">
        <f>IF(Psychologia!I23&gt;0,Psychologia!I23," ")</f>
        <v>Psychogenetyka</v>
      </c>
      <c r="J23" s="123">
        <f>Psychologia!Y23+Psychologia!AV23</f>
        <v>50</v>
      </c>
      <c r="K23" s="124">
        <f>Psychologia!AS23+Psychologia!BP23</f>
        <v>15</v>
      </c>
      <c r="L23" s="125">
        <f>Psychologia!Z23+Psychologia!AW23</f>
        <v>35</v>
      </c>
      <c r="M23" s="126">
        <f>Psychologia!AB23+Psychologia!AD23+Psychologia!AY23+Psychologia!BA23</f>
        <v>15</v>
      </c>
      <c r="N23" s="220">
        <f>Psychologia!AA23+Psychologia!AX23</f>
        <v>35</v>
      </c>
      <c r="O23" s="232">
        <f>Psychologia!X23+Psychologia!AU23</f>
        <v>2</v>
      </c>
      <c r="P23" s="128" t="str">
        <f>IF(Psychologia!V23&gt;0,Psychologia!V23," ")</f>
        <v>zal/o</v>
      </c>
      <c r="Q23" s="150">
        <f t="shared" si="0"/>
        <v>0</v>
      </c>
      <c r="R23" s="135">
        <f t="shared" si="1"/>
        <v>0</v>
      </c>
      <c r="S23" s="161">
        <f t="shared" si="2"/>
        <v>0</v>
      </c>
      <c r="T23" s="132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2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348"/>
      <c r="BE23" s="348"/>
      <c r="BF23" s="348"/>
      <c r="BG23" s="348"/>
      <c r="BH23" s="132"/>
      <c r="BI23" s="131"/>
      <c r="BJ23" s="131"/>
      <c r="BK23" s="348"/>
      <c r="BL23" s="348"/>
      <c r="BM23" s="348"/>
      <c r="BN23" s="348"/>
      <c r="BO23" s="348"/>
      <c r="BP23" s="133"/>
      <c r="CE23" s="118"/>
      <c r="CF23" s="118"/>
      <c r="CG23" s="118"/>
      <c r="CH23" s="46"/>
    </row>
    <row r="24" spans="1:86" s="44" customFormat="1" ht="30" customHeight="1" x14ac:dyDescent="0.25">
      <c r="A24" s="32">
        <f>Psychologia!A24</f>
        <v>5</v>
      </c>
      <c r="B24" s="127" t="str">
        <f>IF(Psychologia!B24&gt;0,Psychologia!B24," ")</f>
        <v xml:space="preserve"> </v>
      </c>
      <c r="C24" s="128" t="str">
        <f>IF(Psychologia!C24&gt;0,Psychologia!C24," ")</f>
        <v>2026/2027</v>
      </c>
      <c r="D24" s="128" t="str">
        <f>IF(Psychologia!D24&gt;0,Psychologia!D24," ")</f>
        <v xml:space="preserve"> </v>
      </c>
      <c r="E24" s="127">
        <f>IF(Psychologia!E24&gt;0,Psychologia!E24," ")</f>
        <v>1</v>
      </c>
      <c r="F24" s="32" t="str">
        <f>IF(Psychologia!F24&gt;0,Psychologia!F24," ")</f>
        <v>2026/2027</v>
      </c>
      <c r="G24" s="32" t="str">
        <f>IF(Psychologia!G24&gt;0,Psychologia!G24," ")</f>
        <v>RPS</v>
      </c>
      <c r="H24" s="122" t="str">
        <f>IF(Psychologia!H24&gt;0,Psychologia!H24," ")</f>
        <v xml:space="preserve"> </v>
      </c>
      <c r="I24" s="122" t="str">
        <f>IF(Psychologia!I24&gt;0,Psychologia!I24," ")</f>
        <v>Kompetencje akademickie</v>
      </c>
      <c r="J24" s="123">
        <f>Psychologia!Y24+Psychologia!AV24</f>
        <v>28</v>
      </c>
      <c r="K24" s="124">
        <f>Psychologia!AS24+Psychologia!BP24</f>
        <v>0</v>
      </c>
      <c r="L24" s="125">
        <f>Psychologia!Z24+Psychologia!AW24</f>
        <v>28</v>
      </c>
      <c r="M24" s="126">
        <f>Psychologia!AB24+Psychologia!AD24+Psychologia!AY24+Psychologia!BA24</f>
        <v>0</v>
      </c>
      <c r="N24" s="220">
        <f>Psychologia!AA24+Psychologia!AX24</f>
        <v>28</v>
      </c>
      <c r="O24" s="232">
        <f>Psychologia!X24+Psychologia!AU24</f>
        <v>0</v>
      </c>
      <c r="P24" s="128" t="str">
        <f>IF(Psychologia!V24&gt;0,Psychologia!V24," ")</f>
        <v>zal</v>
      </c>
      <c r="Q24" s="150">
        <f t="shared" si="0"/>
        <v>0</v>
      </c>
      <c r="R24" s="135">
        <f t="shared" si="1"/>
        <v>0</v>
      </c>
      <c r="S24" s="161">
        <f t="shared" si="2"/>
        <v>0</v>
      </c>
      <c r="T24" s="132"/>
      <c r="U24" s="131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2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/>
      <c r="BA24" s="131"/>
      <c r="BB24" s="131"/>
      <c r="BC24" s="131"/>
      <c r="BD24" s="348"/>
      <c r="BE24" s="348"/>
      <c r="BF24" s="348"/>
      <c r="BG24" s="348"/>
      <c r="BH24" s="132"/>
      <c r="BI24" s="131"/>
      <c r="BJ24" s="131"/>
      <c r="BK24" s="348"/>
      <c r="BL24" s="348"/>
      <c r="BM24" s="348"/>
      <c r="BN24" s="348"/>
      <c r="BO24" s="348"/>
      <c r="BP24" s="133"/>
      <c r="CE24" s="118"/>
      <c r="CF24" s="118"/>
      <c r="CG24" s="118"/>
      <c r="CH24" s="46"/>
    </row>
    <row r="25" spans="1:86" s="44" customFormat="1" ht="30" customHeight="1" x14ac:dyDescent="0.25">
      <c r="A25" s="32">
        <f>Psychologia!A25</f>
        <v>6</v>
      </c>
      <c r="B25" s="127" t="str">
        <f>IF(Psychologia!B25&gt;0,Psychologia!B25," ")</f>
        <v xml:space="preserve"> </v>
      </c>
      <c r="C25" s="128" t="str">
        <f>IF(Psychologia!C25&gt;0,Psychologia!C25," ")</f>
        <v>2026/2027</v>
      </c>
      <c r="D25" s="128" t="str">
        <f>IF(Psychologia!D25&gt;0,Psychologia!D25," ")</f>
        <v xml:space="preserve"> </v>
      </c>
      <c r="E25" s="127">
        <f>IF(Psychologia!E25&gt;0,Psychologia!E25," ")</f>
        <v>1</v>
      </c>
      <c r="F25" s="32" t="str">
        <f>IF(Psychologia!F25&gt;0,Psychologia!F25," ")</f>
        <v>2026/2027</v>
      </c>
      <c r="G25" s="32" t="str">
        <f>IF(Psychologia!G25&gt;0,Psychologia!G25," ")</f>
        <v>RPS</v>
      </c>
      <c r="H25" s="122" t="str">
        <f>IF(Psychologia!H25&gt;0,Psychologia!H25," ")</f>
        <v xml:space="preserve"> </v>
      </c>
      <c r="I25" s="122" t="str">
        <f>IF(Psychologia!I25&gt;0,Psychologia!I25," ")</f>
        <v>Lektorat z języka angielskiego I</v>
      </c>
      <c r="J25" s="123">
        <f>Psychologia!Y25+Psychologia!AV25</f>
        <v>50</v>
      </c>
      <c r="K25" s="124">
        <f>Psychologia!AS25+Psychologia!BP25</f>
        <v>20</v>
      </c>
      <c r="L25" s="125">
        <f>Psychologia!Z25+Psychologia!AW25</f>
        <v>30</v>
      </c>
      <c r="M25" s="126">
        <f>Psychologia!AB25+Psychologia!AD25+Psychologia!AY25+Psychologia!BA25</f>
        <v>0</v>
      </c>
      <c r="N25" s="220">
        <f>Psychologia!AA25+Psychologia!AX25</f>
        <v>30</v>
      </c>
      <c r="O25" s="232">
        <f>Psychologia!X25+Psychologia!AU25</f>
        <v>2</v>
      </c>
      <c r="P25" s="128" t="str">
        <f>IF(Psychologia!V25&gt;0,Psychologia!V25," ")</f>
        <v>zal/o</v>
      </c>
      <c r="Q25" s="150">
        <f t="shared" si="0"/>
        <v>0</v>
      </c>
      <c r="R25" s="135">
        <f t="shared" si="1"/>
        <v>0</v>
      </c>
      <c r="S25" s="161">
        <f t="shared" si="2"/>
        <v>0</v>
      </c>
      <c r="T25" s="132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2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/>
      <c r="BA25" s="131"/>
      <c r="BB25" s="131"/>
      <c r="BC25" s="131"/>
      <c r="BD25" s="348"/>
      <c r="BE25" s="348"/>
      <c r="BF25" s="348"/>
      <c r="BG25" s="348"/>
      <c r="BH25" s="132"/>
      <c r="BI25" s="131"/>
      <c r="BJ25" s="131"/>
      <c r="BK25" s="348"/>
      <c r="BL25" s="348"/>
      <c r="BM25" s="348"/>
      <c r="BN25" s="348"/>
      <c r="BO25" s="348"/>
      <c r="BP25" s="133"/>
      <c r="CE25" s="118"/>
      <c r="CF25" s="118"/>
      <c r="CG25" s="118"/>
      <c r="CH25" s="46"/>
    </row>
    <row r="26" spans="1:86" s="44" customFormat="1" ht="30" customHeight="1" x14ac:dyDescent="0.25">
      <c r="A26" s="32">
        <f>Psychologia!A26</f>
        <v>7</v>
      </c>
      <c r="B26" s="127" t="str">
        <f>IF(Psychologia!B26&gt;0,Psychologia!B26," ")</f>
        <v xml:space="preserve"> </v>
      </c>
      <c r="C26" s="128" t="str">
        <f>IF(Psychologia!C26&gt;0,Psychologia!C26," ")</f>
        <v>2026/2027</v>
      </c>
      <c r="D26" s="128" t="str">
        <f>IF(Psychologia!D26&gt;0,Psychologia!D26," ")</f>
        <v xml:space="preserve"> </v>
      </c>
      <c r="E26" s="127">
        <f>IF(Psychologia!E26&gt;0,Psychologia!E26," ")</f>
        <v>1</v>
      </c>
      <c r="F26" s="32" t="str">
        <f>IF(Psychologia!F26&gt;0,Psychologia!F26," ")</f>
        <v>2026/2027</v>
      </c>
      <c r="G26" s="32" t="str">
        <f>IF(Psychologia!G26&gt;0,Psychologia!G26," ")</f>
        <v>RPS</v>
      </c>
      <c r="H26" s="122" t="str">
        <f>IF(Psychologia!H26&gt;0,Psychologia!H26," ")</f>
        <v xml:space="preserve"> </v>
      </c>
      <c r="I26" s="122" t="str">
        <f>IF(Psychologia!I26&gt;0,Psychologia!I26," ")</f>
        <v>Lektorat z języka angielskiego II</v>
      </c>
      <c r="J26" s="123">
        <f>Psychologia!Y26+Psychologia!AV26</f>
        <v>50</v>
      </c>
      <c r="K26" s="124">
        <f>Psychologia!AS26+Psychologia!BP26</f>
        <v>20</v>
      </c>
      <c r="L26" s="125">
        <f>Psychologia!Z26+Psychologia!AW26</f>
        <v>30</v>
      </c>
      <c r="M26" s="126">
        <f>Psychologia!AB26+Psychologia!AD26+Psychologia!AY26+Psychologia!BA26</f>
        <v>0</v>
      </c>
      <c r="N26" s="220">
        <f>Psychologia!AA26+Psychologia!AX26</f>
        <v>30</v>
      </c>
      <c r="O26" s="232">
        <f>Psychologia!X26+Psychologia!AU26</f>
        <v>2</v>
      </c>
      <c r="P26" s="128" t="str">
        <f>IF(Psychologia!V26&gt;0,Psychologia!V26," ")</f>
        <v>zal/o</v>
      </c>
      <c r="Q26" s="150">
        <f t="shared" si="0"/>
        <v>0</v>
      </c>
      <c r="R26" s="135">
        <f t="shared" ref="R26" si="3">SUM(AF26:BG26)</f>
        <v>0</v>
      </c>
      <c r="S26" s="161">
        <f t="shared" si="2"/>
        <v>0</v>
      </c>
      <c r="T26" s="132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2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/>
      <c r="BA26" s="131"/>
      <c r="BB26" s="131"/>
      <c r="BC26" s="131"/>
      <c r="BD26" s="348"/>
      <c r="BE26" s="348"/>
      <c r="BF26" s="348"/>
      <c r="BG26" s="348"/>
      <c r="BH26" s="132"/>
      <c r="BI26" s="131"/>
      <c r="BJ26" s="131"/>
      <c r="BK26" s="348"/>
      <c r="BL26" s="348"/>
      <c r="BM26" s="348"/>
      <c r="BN26" s="348"/>
      <c r="BO26" s="348"/>
      <c r="BP26" s="133"/>
      <c r="CE26" s="118"/>
      <c r="CF26" s="118"/>
      <c r="CG26" s="118"/>
      <c r="CH26" s="46"/>
    </row>
    <row r="27" spans="1:86" s="44" customFormat="1" ht="30" customHeight="1" x14ac:dyDescent="0.25">
      <c r="A27" s="32">
        <f>Psychologia!A27</f>
        <v>8</v>
      </c>
      <c r="B27" s="127" t="str">
        <f>IF(Psychologia!B27&gt;0,Psychologia!B27," ")</f>
        <v xml:space="preserve"> </v>
      </c>
      <c r="C27" s="128" t="str">
        <f>IF(Psychologia!C27&gt;0,Psychologia!C27," ")</f>
        <v>2026/2027</v>
      </c>
      <c r="D27" s="128" t="str">
        <f>IF(Psychologia!D27&gt;0,Psychologia!D27," ")</f>
        <v xml:space="preserve"> </v>
      </c>
      <c r="E27" s="127">
        <f>IF(Psychologia!E27&gt;0,Psychologia!E27," ")</f>
        <v>1</v>
      </c>
      <c r="F27" s="32" t="str">
        <f>IF(Psychologia!F27&gt;0,Psychologia!F27," ")</f>
        <v>2026/2027</v>
      </c>
      <c r="G27" s="32" t="str">
        <f>IF(Psychologia!G27&gt;0,Psychologia!G27," ")</f>
        <v>RPS</v>
      </c>
      <c r="H27" s="122" t="str">
        <f>IF(Psychologia!H27&gt;0,Psychologia!H27," ")</f>
        <v xml:space="preserve"> </v>
      </c>
      <c r="I27" s="122" t="str">
        <f>IF(Psychologia!I27&gt;0,Psychologia!I27," ")</f>
        <v>Neurobiologia i mechanizmy zachowania</v>
      </c>
      <c r="J27" s="123">
        <f>Psychologia!Y27+Psychologia!AV27</f>
        <v>80</v>
      </c>
      <c r="K27" s="124">
        <f>Psychologia!AS27+Psychologia!BP27</f>
        <v>60</v>
      </c>
      <c r="L27" s="125">
        <f>Psychologia!Z27+Psychologia!AW27</f>
        <v>20</v>
      </c>
      <c r="M27" s="126">
        <f>Psychologia!AB27+Psychologia!AD27+Psychologia!AY27+Psychologia!BA27</f>
        <v>10</v>
      </c>
      <c r="N27" s="220">
        <f>Psychologia!AA27+Psychologia!AX27</f>
        <v>20</v>
      </c>
      <c r="O27" s="232">
        <f>Psychologia!X27+Psychologia!AU27</f>
        <v>3</v>
      </c>
      <c r="P27" s="128" t="str">
        <f>IF(Psychologia!V27&gt;0,Psychologia!V27," ")</f>
        <v>zal/o</v>
      </c>
      <c r="Q27" s="150">
        <f t="shared" si="0"/>
        <v>0</v>
      </c>
      <c r="R27" s="135">
        <f t="shared" si="1"/>
        <v>0</v>
      </c>
      <c r="S27" s="161">
        <f t="shared" si="2"/>
        <v>0</v>
      </c>
      <c r="T27" s="132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2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131"/>
      <c r="AU27" s="131"/>
      <c r="AV27" s="131"/>
      <c r="AW27" s="131"/>
      <c r="AX27" s="131"/>
      <c r="AY27" s="131"/>
      <c r="AZ27" s="131"/>
      <c r="BA27" s="131"/>
      <c r="BB27" s="131"/>
      <c r="BC27" s="131"/>
      <c r="BD27" s="348"/>
      <c r="BE27" s="348"/>
      <c r="BF27" s="348"/>
      <c r="BG27" s="348"/>
      <c r="BH27" s="132"/>
      <c r="BI27" s="131"/>
      <c r="BJ27" s="131"/>
      <c r="BK27" s="348"/>
      <c r="BL27" s="348"/>
      <c r="BM27" s="348"/>
      <c r="BN27" s="348"/>
      <c r="BO27" s="348"/>
      <c r="BP27" s="133"/>
      <c r="CE27" s="118"/>
      <c r="CF27" s="118"/>
      <c r="CG27" s="118"/>
      <c r="CH27" s="46"/>
    </row>
    <row r="28" spans="1:86" s="44" customFormat="1" ht="29.25" customHeight="1" x14ac:dyDescent="0.25">
      <c r="A28" s="32">
        <f>Psychologia!A28</f>
        <v>9</v>
      </c>
      <c r="B28" s="127" t="str">
        <f>IF(Psychologia!B28&gt;0,Psychologia!B28," ")</f>
        <v xml:space="preserve"> </v>
      </c>
      <c r="C28" s="128" t="str">
        <f>IF(Psychologia!C28&gt;0,Psychologia!C28," ")</f>
        <v>2026/2027</v>
      </c>
      <c r="D28" s="128" t="str">
        <f>IF(Psychologia!D28&gt;0,Psychologia!D28," ")</f>
        <v xml:space="preserve"> </v>
      </c>
      <c r="E28" s="127">
        <f>IF(Psychologia!E28&gt;0,Psychologia!E28," ")</f>
        <v>1</v>
      </c>
      <c r="F28" s="32" t="str">
        <f>IF(Psychologia!F28&gt;0,Psychologia!F28," ")</f>
        <v>2026/2027</v>
      </c>
      <c r="G28" s="32" t="str">
        <f>IF(Psychologia!G28&gt;0,Psychologia!G28," ")</f>
        <v>RPS</v>
      </c>
      <c r="H28" s="122" t="str">
        <f>IF(Psychologia!H28&gt;0,Psychologia!H28," ")</f>
        <v xml:space="preserve"> </v>
      </c>
      <c r="I28" s="122" t="str">
        <f>IF(Psychologia!I28&gt;0,Psychologia!I28," ")</f>
        <v>Podstawy neurofizjologii dla psychologów</v>
      </c>
      <c r="J28" s="123">
        <f>Psychologia!Y28+Psychologia!AV28</f>
        <v>100</v>
      </c>
      <c r="K28" s="124">
        <f>Psychologia!AS28+Psychologia!BP28</f>
        <v>65</v>
      </c>
      <c r="L28" s="125">
        <f>Psychologia!Z28+Psychologia!AW28</f>
        <v>35</v>
      </c>
      <c r="M28" s="126">
        <f>Psychologia!AB28+Psychologia!AD28+Psychologia!AY28+Psychologia!BA28</f>
        <v>10</v>
      </c>
      <c r="N28" s="220">
        <f>Psychologia!AA28+Psychologia!AX28</f>
        <v>35</v>
      </c>
      <c r="O28" s="232">
        <f>Psychologia!X28+Psychologia!AU28</f>
        <v>4</v>
      </c>
      <c r="P28" s="128" t="str">
        <f>IF(Psychologia!V28&gt;0,Psychologia!V28," ")</f>
        <v>egz</v>
      </c>
      <c r="Q28" s="150">
        <f t="shared" si="0"/>
        <v>0</v>
      </c>
      <c r="R28" s="135">
        <f t="shared" si="1"/>
        <v>0</v>
      </c>
      <c r="S28" s="161">
        <f t="shared" si="2"/>
        <v>0</v>
      </c>
      <c r="T28" s="132"/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2"/>
      <c r="AG28" s="131"/>
      <c r="AH28" s="131"/>
      <c r="AI28" s="131"/>
      <c r="AJ28" s="131"/>
      <c r="AK28" s="131"/>
      <c r="AL28" s="131"/>
      <c r="AM28" s="131"/>
      <c r="AN28" s="131"/>
      <c r="AO28" s="131"/>
      <c r="AP28" s="131"/>
      <c r="AQ28" s="131"/>
      <c r="AR28" s="131"/>
      <c r="AS28" s="131"/>
      <c r="AT28" s="131"/>
      <c r="AU28" s="131"/>
      <c r="AV28" s="131"/>
      <c r="AW28" s="131"/>
      <c r="AX28" s="131"/>
      <c r="AY28" s="131"/>
      <c r="AZ28" s="131"/>
      <c r="BA28" s="131"/>
      <c r="BB28" s="131"/>
      <c r="BC28" s="131"/>
      <c r="BD28" s="348"/>
      <c r="BE28" s="348"/>
      <c r="BF28" s="348"/>
      <c r="BG28" s="348"/>
      <c r="BH28" s="132"/>
      <c r="BI28" s="131"/>
      <c r="BJ28" s="131"/>
      <c r="BK28" s="348"/>
      <c r="BL28" s="348"/>
      <c r="BM28" s="348"/>
      <c r="BN28" s="348"/>
      <c r="BO28" s="348"/>
      <c r="BP28" s="133"/>
      <c r="CE28" s="118"/>
      <c r="CF28" s="118"/>
      <c r="CG28" s="118"/>
      <c r="CH28" s="46"/>
    </row>
    <row r="29" spans="1:86" s="44" customFormat="1" ht="30" customHeight="1" x14ac:dyDescent="0.25">
      <c r="A29" s="32">
        <f>Psychologia!A29</f>
        <v>10</v>
      </c>
      <c r="B29" s="127" t="str">
        <f>IF(Psychologia!B29&gt;0,Psychologia!B29," ")</f>
        <v xml:space="preserve"> </v>
      </c>
      <c r="C29" s="128" t="str">
        <f>IF(Psychologia!C29&gt;0,Psychologia!C29," ")</f>
        <v>2026/2027</v>
      </c>
      <c r="D29" s="128" t="str">
        <f>IF(Psychologia!D29&gt;0,Psychologia!D29," ")</f>
        <v xml:space="preserve"> </v>
      </c>
      <c r="E29" s="127">
        <f>IF(Psychologia!E29&gt;0,Psychologia!E29," ")</f>
        <v>1</v>
      </c>
      <c r="F29" s="32" t="str">
        <f>IF(Psychologia!F29&gt;0,Psychologia!F29," ")</f>
        <v>2026/2027</v>
      </c>
      <c r="G29" s="32" t="str">
        <f>IF(Psychologia!G29&gt;0,Psychologia!G29," ")</f>
        <v>RPS</v>
      </c>
      <c r="H29" s="122" t="str">
        <f>IF(Psychologia!H29&gt;0,Psychologia!H29," ")</f>
        <v xml:space="preserve"> </v>
      </c>
      <c r="I29" s="122" t="str">
        <f>IF(Psychologia!I29&gt;0,Psychologia!I29," ")</f>
        <v>Pierwsza pomoc medyczna</v>
      </c>
      <c r="J29" s="123">
        <f>Psychologia!Y29+Psychologia!AV29</f>
        <v>25</v>
      </c>
      <c r="K29" s="124">
        <f>Psychologia!AS29+Psychologia!BP29</f>
        <v>10</v>
      </c>
      <c r="L29" s="125">
        <f>Psychologia!Z29+Psychologia!AW29</f>
        <v>15</v>
      </c>
      <c r="M29" s="126">
        <f>Psychologia!AB29+Psychologia!AD29+Psychologia!AY29+Psychologia!BA29</f>
        <v>5</v>
      </c>
      <c r="N29" s="220">
        <f>Psychologia!AA29+Psychologia!AX29</f>
        <v>15</v>
      </c>
      <c r="O29" s="232">
        <f>Psychologia!X29+Psychologia!AU29</f>
        <v>1</v>
      </c>
      <c r="P29" s="128" t="str">
        <f>IF(Psychologia!V29&gt;0,Psychologia!V29," ")</f>
        <v>zal/o</v>
      </c>
      <c r="Q29" s="150">
        <f t="shared" si="0"/>
        <v>0</v>
      </c>
      <c r="R29" s="135">
        <f t="shared" si="1"/>
        <v>0</v>
      </c>
      <c r="S29" s="161">
        <f t="shared" si="2"/>
        <v>0</v>
      </c>
      <c r="T29" s="132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2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/>
      <c r="BA29" s="131"/>
      <c r="BB29" s="131"/>
      <c r="BC29" s="131"/>
      <c r="BD29" s="348"/>
      <c r="BE29" s="348"/>
      <c r="BF29" s="348"/>
      <c r="BG29" s="348"/>
      <c r="BH29" s="132"/>
      <c r="BI29" s="131"/>
      <c r="BJ29" s="131"/>
      <c r="BK29" s="348"/>
      <c r="BL29" s="348"/>
      <c r="BM29" s="348"/>
      <c r="BN29" s="348"/>
      <c r="BO29" s="348"/>
      <c r="BP29" s="133"/>
      <c r="CE29" s="118"/>
      <c r="CF29" s="118"/>
      <c r="CG29" s="118"/>
      <c r="CH29" s="46"/>
    </row>
    <row r="30" spans="1:86" s="44" customFormat="1" ht="30" customHeight="1" x14ac:dyDescent="0.25">
      <c r="A30" s="32">
        <f>Psychologia!A30</f>
        <v>11</v>
      </c>
      <c r="B30" s="127" t="str">
        <f>IF(Psychologia!B30&gt;0,Psychologia!B30," ")</f>
        <v xml:space="preserve"> </v>
      </c>
      <c r="C30" s="128" t="str">
        <f>IF(Psychologia!C30&gt;0,Psychologia!C30," ")</f>
        <v>2026/2027</v>
      </c>
      <c r="D30" s="128" t="str">
        <f>IF(Psychologia!D30&gt;0,Psychologia!D30," ")</f>
        <v xml:space="preserve"> </v>
      </c>
      <c r="E30" s="127">
        <f>IF(Psychologia!E30&gt;0,Psychologia!E30," ")</f>
        <v>1</v>
      </c>
      <c r="F30" s="32" t="str">
        <f>IF(Psychologia!F30&gt;0,Psychologia!F30," ")</f>
        <v>2026/2027</v>
      </c>
      <c r="G30" s="32" t="str">
        <f>IF(Psychologia!G30&gt;0,Psychologia!G30," ")</f>
        <v>RPS</v>
      </c>
      <c r="H30" s="122" t="str">
        <f>IF(Psychologia!H30&gt;0,Psychologia!H30," ")</f>
        <v xml:space="preserve"> </v>
      </c>
      <c r="I30" s="122" t="str">
        <f>IF(Psychologia!I30&gt;0,Psychologia!I30," ")</f>
        <v xml:space="preserve">Podstawy technologii informacyjnej </v>
      </c>
      <c r="J30" s="123">
        <f>Psychologia!Y30+Psychologia!AV30</f>
        <v>50</v>
      </c>
      <c r="K30" s="124">
        <f>Psychologia!AS30+Psychologia!BP30</f>
        <v>20</v>
      </c>
      <c r="L30" s="125">
        <f>Psychologia!Z30+Psychologia!AW30</f>
        <v>30</v>
      </c>
      <c r="M30" s="126">
        <f>Psychologia!AB30+Psychologia!AD30+Psychologia!AY30+Psychologia!BA30</f>
        <v>0</v>
      </c>
      <c r="N30" s="220">
        <f>Psychologia!AA30+Psychologia!AX30</f>
        <v>30</v>
      </c>
      <c r="O30" s="232">
        <f>Psychologia!X30+Psychologia!AU30</f>
        <v>2</v>
      </c>
      <c r="P30" s="128" t="str">
        <f>IF(Psychologia!V30&gt;0,Psychologia!V30," ")</f>
        <v>zal/o</v>
      </c>
      <c r="Q30" s="150">
        <f t="shared" si="0"/>
        <v>0</v>
      </c>
      <c r="R30" s="135">
        <f t="shared" si="1"/>
        <v>0</v>
      </c>
      <c r="S30" s="161">
        <f t="shared" si="2"/>
        <v>0</v>
      </c>
      <c r="T30" s="132"/>
      <c r="U30" s="131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2"/>
      <c r="AG30" s="131"/>
      <c r="AH30" s="131"/>
      <c r="AI30" s="131"/>
      <c r="AJ30" s="131"/>
      <c r="AK30" s="131"/>
      <c r="AL30" s="131"/>
      <c r="AM30" s="131"/>
      <c r="AN30" s="131"/>
      <c r="AO30" s="131"/>
      <c r="AP30" s="131"/>
      <c r="AQ30" s="131"/>
      <c r="AR30" s="131"/>
      <c r="AS30" s="131"/>
      <c r="AT30" s="131"/>
      <c r="AU30" s="131"/>
      <c r="AV30" s="131"/>
      <c r="AW30" s="131"/>
      <c r="AX30" s="131"/>
      <c r="AY30" s="131"/>
      <c r="AZ30" s="131"/>
      <c r="BA30" s="131"/>
      <c r="BB30" s="131"/>
      <c r="BC30" s="131"/>
      <c r="BD30" s="348"/>
      <c r="BE30" s="348"/>
      <c r="BF30" s="348"/>
      <c r="BG30" s="348"/>
      <c r="BH30" s="132"/>
      <c r="BI30" s="131"/>
      <c r="BJ30" s="131"/>
      <c r="BK30" s="348"/>
      <c r="BL30" s="348"/>
      <c r="BM30" s="348"/>
      <c r="BN30" s="348"/>
      <c r="BO30" s="348"/>
      <c r="BP30" s="133"/>
      <c r="CE30" s="118"/>
      <c r="CF30" s="118"/>
      <c r="CG30" s="118"/>
      <c r="CH30" s="46"/>
    </row>
    <row r="31" spans="1:86" s="44" customFormat="1" ht="78.75" x14ac:dyDescent="0.25">
      <c r="A31" s="32">
        <f>Psychologia!A31</f>
        <v>12</v>
      </c>
      <c r="B31" s="127" t="str">
        <f>IF(Psychologia!B31&gt;0,Psychologia!B31," ")</f>
        <v xml:space="preserve"> </v>
      </c>
      <c r="C31" s="128" t="str">
        <f>IF(Psychologia!C31&gt;0,Psychologia!C31," ")</f>
        <v>2026/2027</v>
      </c>
      <c r="D31" s="128" t="str">
        <f>IF(Psychologia!D31&gt;0,Psychologia!D31," ")</f>
        <v xml:space="preserve"> </v>
      </c>
      <c r="E31" s="127">
        <f>IF(Psychologia!E31&gt;0,Psychologia!E31," ")</f>
        <v>1</v>
      </c>
      <c r="F31" s="32" t="str">
        <f>IF(Psychologia!F31&gt;0,Psychologia!F31," ")</f>
        <v>2026/2027</v>
      </c>
      <c r="G31" s="32" t="str">
        <f>IF(Psychologia!G31&gt;0,Psychologia!G31," ")</f>
        <v>POW</v>
      </c>
      <c r="H31" s="122" t="str">
        <f>IF(Psychologia!H31&gt;0,Psychologia!H31," ")</f>
        <v xml:space="preserve"> </v>
      </c>
      <c r="I31" s="599" t="str">
        <f>IF(Psychologia!I31&gt;0,Psychologia!I31," ")</f>
        <v xml:space="preserve">Przedmiot fakultatywny 1: Rola organizacji pozarządowych w systemie ochrony zdrowia / Sport, umysł i granice ludzkich możliwości </v>
      </c>
      <c r="J31" s="123">
        <f>Psychologia!Y31+Psychologia!AV31</f>
        <v>50</v>
      </c>
      <c r="K31" s="124">
        <f>Psychologia!AS31+Psychologia!BP31</f>
        <v>10</v>
      </c>
      <c r="L31" s="125">
        <f>Psychologia!Z31+Psychologia!AW31</f>
        <v>40</v>
      </c>
      <c r="M31" s="126">
        <f>Psychologia!AB31+Psychologia!AD31+Psychologia!AY31+Psychologia!BA31</f>
        <v>0</v>
      </c>
      <c r="N31" s="220">
        <f>Psychologia!AA31+Psychologia!AX31</f>
        <v>40</v>
      </c>
      <c r="O31" s="232">
        <f>Psychologia!X31+Psychologia!AU31</f>
        <v>2</v>
      </c>
      <c r="P31" s="128" t="str">
        <f>IF(Psychologia!V31&gt;0,Psychologia!V31," ")</f>
        <v>zal/o</v>
      </c>
      <c r="Q31" s="150">
        <f t="shared" si="0"/>
        <v>0</v>
      </c>
      <c r="R31" s="135">
        <f t="shared" ref="R31:R32" si="4">SUM(AF31:BG31)</f>
        <v>0</v>
      </c>
      <c r="S31" s="161">
        <f t="shared" si="2"/>
        <v>0</v>
      </c>
      <c r="T31" s="132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2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348"/>
      <c r="BE31" s="348"/>
      <c r="BF31" s="348"/>
      <c r="BG31" s="348"/>
      <c r="BH31" s="132"/>
      <c r="BI31" s="131"/>
      <c r="BJ31" s="131"/>
      <c r="BK31" s="348"/>
      <c r="BL31" s="348"/>
      <c r="BM31" s="348"/>
      <c r="BN31" s="348"/>
      <c r="BO31" s="348"/>
      <c r="BP31" s="133"/>
      <c r="CE31" s="118"/>
      <c r="CF31" s="118"/>
      <c r="CG31" s="118"/>
      <c r="CH31" s="46"/>
    </row>
    <row r="32" spans="1:86" s="44" customFormat="1" ht="63" x14ac:dyDescent="0.25">
      <c r="A32" s="32">
        <f>Psychologia!A32</f>
        <v>13</v>
      </c>
      <c r="B32" s="127" t="str">
        <f>IF(Psychologia!B32&gt;0,Psychologia!B32," ")</f>
        <v xml:space="preserve"> </v>
      </c>
      <c r="C32" s="128" t="str">
        <f>IF(Psychologia!C32&gt;0,Psychologia!C32," ")</f>
        <v>2026/2027</v>
      </c>
      <c r="D32" s="128" t="str">
        <f>IF(Psychologia!D32&gt;0,Psychologia!D32," ")</f>
        <v xml:space="preserve"> </v>
      </c>
      <c r="E32" s="127">
        <f>IF(Psychologia!E32&gt;0,Psychologia!E32," ")</f>
        <v>1</v>
      </c>
      <c r="F32" s="32" t="str">
        <f>IF(Psychologia!F32&gt;0,Psychologia!F32," ")</f>
        <v>2026/2027</v>
      </c>
      <c r="G32" s="32" t="str">
        <f>IF(Psychologia!G32&gt;0,Psychologia!G32," ")</f>
        <v>POW</v>
      </c>
      <c r="H32" s="122" t="str">
        <f>IF(Psychologia!H32&gt;0,Psychologia!H32," ")</f>
        <v xml:space="preserve"> </v>
      </c>
      <c r="I32" s="599" t="str">
        <f>IF(Psychologia!I32&gt;0,Psychologia!I32," ")</f>
        <v xml:space="preserve">Przedmiot fakultatywny 2: Społeczne przyczyny kryzysów psychicznych / Podstawy neurobiologii eksperymentalnej </v>
      </c>
      <c r="J32" s="123">
        <f>Psychologia!Y32+Psychologia!AV32</f>
        <v>50</v>
      </c>
      <c r="K32" s="124">
        <f>Psychologia!AS32+Psychologia!BP32</f>
        <v>10</v>
      </c>
      <c r="L32" s="125">
        <f>Psychologia!Z32+Psychologia!AW32</f>
        <v>40</v>
      </c>
      <c r="M32" s="126">
        <f>Psychologia!AB32+Psychologia!AD32+Psychologia!AY32+Psychologia!BA32</f>
        <v>10</v>
      </c>
      <c r="N32" s="220">
        <f>Psychologia!AA32+Psychologia!AX32</f>
        <v>40</v>
      </c>
      <c r="O32" s="232">
        <f>Psychologia!X32+Psychologia!AU32</f>
        <v>2</v>
      </c>
      <c r="P32" s="128" t="str">
        <f>IF(Psychologia!V32&gt;0,Psychologia!V32," ")</f>
        <v>zal/o</v>
      </c>
      <c r="Q32" s="150">
        <f t="shared" si="0"/>
        <v>0</v>
      </c>
      <c r="R32" s="135">
        <f t="shared" si="4"/>
        <v>0</v>
      </c>
      <c r="S32" s="161">
        <f t="shared" si="2"/>
        <v>0</v>
      </c>
      <c r="T32" s="132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2"/>
      <c r="AG32" s="131"/>
      <c r="AH32" s="131"/>
      <c r="AI32" s="131"/>
      <c r="AJ32" s="131"/>
      <c r="AK32" s="131"/>
      <c r="AL32" s="131"/>
      <c r="AM32" s="131"/>
      <c r="AN32" s="131"/>
      <c r="AO32" s="131"/>
      <c r="AP32" s="131"/>
      <c r="AQ32" s="131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131"/>
      <c r="BD32" s="348"/>
      <c r="BE32" s="348"/>
      <c r="BF32" s="348"/>
      <c r="BG32" s="348"/>
      <c r="BH32" s="132"/>
      <c r="BI32" s="131"/>
      <c r="BJ32" s="131"/>
      <c r="BK32" s="348"/>
      <c r="BL32" s="348"/>
      <c r="BM32" s="348"/>
      <c r="BN32" s="348"/>
      <c r="BO32" s="348"/>
      <c r="BP32" s="133"/>
      <c r="CE32" s="118"/>
      <c r="CF32" s="118"/>
      <c r="CG32" s="118"/>
      <c r="CH32" s="46"/>
    </row>
    <row r="33" spans="1:86" s="44" customFormat="1" ht="30" customHeight="1" x14ac:dyDescent="0.25">
      <c r="A33" s="32" t="e">
        <f>Psychologia!#REF!</f>
        <v>#REF!</v>
      </c>
      <c r="B33" s="127" t="e">
        <f>IF(Psychologia!#REF!&gt;0,Psychologia!#REF!," ")</f>
        <v>#REF!</v>
      </c>
      <c r="C33" s="128" t="e">
        <f>IF(Psychologia!#REF!&gt;0,Psychologia!#REF!," ")</f>
        <v>#REF!</v>
      </c>
      <c r="D33" s="128" t="e">
        <f>IF(Psychologia!#REF!&gt;0,Psychologia!#REF!," ")</f>
        <v>#REF!</v>
      </c>
      <c r="E33" s="127" t="e">
        <f>IF(Psychologia!#REF!&gt;0,Psychologia!#REF!," ")</f>
        <v>#REF!</v>
      </c>
      <c r="F33" s="32" t="e">
        <f>IF(Psychologia!#REF!&gt;0,Psychologia!#REF!," ")</f>
        <v>#REF!</v>
      </c>
      <c r="G33" s="32" t="e">
        <f>IF(Psychologia!#REF!&gt;0,Psychologia!#REF!," ")</f>
        <v>#REF!</v>
      </c>
      <c r="H33" s="122" t="e">
        <f>IF(Psychologia!#REF!&gt;0,Psychologia!#REF!," ")</f>
        <v>#REF!</v>
      </c>
      <c r="I33" s="122" t="e">
        <f>IF(Psychologia!#REF!&gt;0,Psychologia!#REF!," ")</f>
        <v>#REF!</v>
      </c>
      <c r="J33" s="123" t="e">
        <f>Psychologia!#REF!+Psychologia!#REF!</f>
        <v>#REF!</v>
      </c>
      <c r="K33" s="124" t="e">
        <f>Psychologia!#REF!+Psychologia!#REF!</f>
        <v>#REF!</v>
      </c>
      <c r="L33" s="125" t="e">
        <f>Psychologia!#REF!+Psychologia!#REF!</f>
        <v>#REF!</v>
      </c>
      <c r="M33" s="126" t="e">
        <f>Psychologia!#REF!+Psychologia!#REF!+Psychologia!#REF!+Psychologia!#REF!</f>
        <v>#REF!</v>
      </c>
      <c r="N33" s="220" t="e">
        <f>Psychologia!#REF!+Psychologia!#REF!</f>
        <v>#REF!</v>
      </c>
      <c r="O33" s="232" t="e">
        <f>Psychologia!#REF!+Psychologia!#REF!</f>
        <v>#REF!</v>
      </c>
      <c r="P33" s="128" t="e">
        <f>IF(Psychologia!#REF!&gt;0,Psychologia!#REF!," ")</f>
        <v>#REF!</v>
      </c>
      <c r="Q33" s="150">
        <f t="shared" si="0"/>
        <v>0</v>
      </c>
      <c r="R33" s="135">
        <f t="shared" si="1"/>
        <v>0</v>
      </c>
      <c r="S33" s="161">
        <f t="shared" si="2"/>
        <v>0</v>
      </c>
      <c r="T33" s="132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2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348"/>
      <c r="BE33" s="348"/>
      <c r="BF33" s="348"/>
      <c r="BG33" s="348"/>
      <c r="BH33" s="132"/>
      <c r="BI33" s="131"/>
      <c r="BJ33" s="131"/>
      <c r="BK33" s="348"/>
      <c r="BL33" s="348"/>
      <c r="BM33" s="348"/>
      <c r="BN33" s="348"/>
      <c r="BO33" s="348"/>
      <c r="BP33" s="133"/>
      <c r="CE33" s="118"/>
      <c r="CF33" s="118"/>
      <c r="CG33" s="118"/>
      <c r="CH33" s="46"/>
    </row>
    <row r="34" spans="1:86" s="44" customFormat="1" ht="30" customHeight="1" x14ac:dyDescent="0.25">
      <c r="A34" s="32">
        <f>Psychologia!A34</f>
        <v>15</v>
      </c>
      <c r="B34" s="127" t="str">
        <f>IF(Psychologia!B34&gt;0,Psychologia!B34," ")</f>
        <v xml:space="preserve"> </v>
      </c>
      <c r="C34" s="128" t="str">
        <f>IF(Psychologia!C34&gt;0,Psychologia!C34," ")</f>
        <v>2026/2027</v>
      </c>
      <c r="D34" s="128" t="str">
        <f>IF(Psychologia!D34&gt;0,Psychologia!D34," ")</f>
        <v xml:space="preserve"> </v>
      </c>
      <c r="E34" s="127">
        <f>IF(Psychologia!E34&gt;0,Psychologia!E34," ")</f>
        <v>1</v>
      </c>
      <c r="F34" s="32" t="str">
        <f>IF(Psychologia!F34&gt;0,Psychologia!F34," ")</f>
        <v>2026/2027</v>
      </c>
      <c r="G34" s="32" t="str">
        <f>IF(Psychologia!G34&gt;0,Psychologia!G34," ")</f>
        <v>RPS</v>
      </c>
      <c r="H34" s="122" t="str">
        <f>IF(Psychologia!H34&gt;0,Psychologia!H34," ")</f>
        <v xml:space="preserve"> </v>
      </c>
      <c r="I34" s="122" t="str">
        <f>IF(Psychologia!I34&gt;0,Psychologia!I34," ")</f>
        <v>Psychologia społeczna</v>
      </c>
      <c r="J34" s="123">
        <f>Psychologia!Y34+Psychologia!AV34</f>
        <v>125</v>
      </c>
      <c r="K34" s="124">
        <f>Psychologia!AS34+Psychologia!BP34</f>
        <v>75</v>
      </c>
      <c r="L34" s="125">
        <f>Psychologia!Z34+Psychologia!AW34</f>
        <v>50</v>
      </c>
      <c r="M34" s="126">
        <f>Psychologia!AB34+Psychologia!AD34+Psychologia!AY34+Psychologia!BA34</f>
        <v>30</v>
      </c>
      <c r="N34" s="220">
        <f>Psychologia!AA34+Psychologia!AX34</f>
        <v>50</v>
      </c>
      <c r="O34" s="232">
        <f>Psychologia!X34+Psychologia!AU34</f>
        <v>5</v>
      </c>
      <c r="P34" s="128" t="str">
        <f>IF(Psychologia!V34&gt;0,Psychologia!V34," ")</f>
        <v>egz</v>
      </c>
      <c r="Q34" s="150">
        <f t="shared" si="0"/>
        <v>0</v>
      </c>
      <c r="R34" s="135">
        <f t="shared" si="1"/>
        <v>0</v>
      </c>
      <c r="S34" s="161">
        <f t="shared" si="2"/>
        <v>0</v>
      </c>
      <c r="T34" s="132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2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31"/>
      <c r="BC34" s="131"/>
      <c r="BD34" s="348"/>
      <c r="BE34" s="348"/>
      <c r="BF34" s="348"/>
      <c r="BG34" s="348"/>
      <c r="BH34" s="132"/>
      <c r="BI34" s="131"/>
      <c r="BJ34" s="131"/>
      <c r="BK34" s="348"/>
      <c r="BL34" s="348"/>
      <c r="BM34" s="348"/>
      <c r="BN34" s="348"/>
      <c r="BO34" s="348"/>
      <c r="BP34" s="133"/>
      <c r="CE34" s="118"/>
      <c r="CF34" s="118"/>
      <c r="CG34" s="118"/>
      <c r="CH34" s="46"/>
    </row>
    <row r="35" spans="1:86" s="44" customFormat="1" ht="30" customHeight="1" x14ac:dyDescent="0.25">
      <c r="A35" s="32" t="e">
        <f>Psychologia!#REF!</f>
        <v>#REF!</v>
      </c>
      <c r="B35" s="127" t="e">
        <f>IF(Psychologia!#REF!&gt;0,Psychologia!#REF!," ")</f>
        <v>#REF!</v>
      </c>
      <c r="C35" s="128" t="e">
        <f>IF(Psychologia!#REF!&gt;0,Psychologia!#REF!," ")</f>
        <v>#REF!</v>
      </c>
      <c r="D35" s="128" t="e">
        <f>IF(Psychologia!#REF!&gt;0,Psychologia!#REF!," ")</f>
        <v>#REF!</v>
      </c>
      <c r="E35" s="127" t="e">
        <f>IF(Psychologia!#REF!&gt;0,Psychologia!#REF!," ")</f>
        <v>#REF!</v>
      </c>
      <c r="F35" s="32" t="e">
        <f>IF(Psychologia!#REF!&gt;0,Psychologia!#REF!," ")</f>
        <v>#REF!</v>
      </c>
      <c r="G35" s="32" t="e">
        <f>IF(Psychologia!#REF!&gt;0,Psychologia!#REF!," ")</f>
        <v>#REF!</v>
      </c>
      <c r="H35" s="122" t="e">
        <f>IF(Psychologia!#REF!&gt;0,Psychologia!#REF!," ")</f>
        <v>#REF!</v>
      </c>
      <c r="I35" s="122" t="e">
        <f>IF(Psychologia!#REF!&gt;0,Psychologia!#REF!," ")</f>
        <v>#REF!</v>
      </c>
      <c r="J35" s="123" t="e">
        <f>Psychologia!#REF!+Psychologia!#REF!</f>
        <v>#REF!</v>
      </c>
      <c r="K35" s="124" t="e">
        <f>Psychologia!#REF!+Psychologia!#REF!</f>
        <v>#REF!</v>
      </c>
      <c r="L35" s="125" t="e">
        <f>Psychologia!#REF!+Psychologia!#REF!</f>
        <v>#REF!</v>
      </c>
      <c r="M35" s="126" t="e">
        <f>Psychologia!#REF!+Psychologia!#REF!+Psychologia!#REF!+Psychologia!#REF!</f>
        <v>#REF!</v>
      </c>
      <c r="N35" s="220" t="e">
        <f>Psychologia!#REF!+Psychologia!#REF!</f>
        <v>#REF!</v>
      </c>
      <c r="O35" s="232" t="e">
        <f>Psychologia!#REF!+Psychologia!#REF!</f>
        <v>#REF!</v>
      </c>
      <c r="P35" s="128" t="e">
        <f>IF(Psychologia!#REF!&gt;0,Psychologia!#REF!," ")</f>
        <v>#REF!</v>
      </c>
      <c r="Q35" s="150">
        <f t="shared" si="0"/>
        <v>0</v>
      </c>
      <c r="R35" s="135">
        <f t="shared" si="1"/>
        <v>0</v>
      </c>
      <c r="S35" s="161">
        <f t="shared" si="2"/>
        <v>0</v>
      </c>
      <c r="T35" s="132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2"/>
      <c r="AG35" s="131"/>
      <c r="AH35" s="131"/>
      <c r="AI35" s="131"/>
      <c r="AJ35" s="131"/>
      <c r="AK35" s="131"/>
      <c r="AL35" s="131"/>
      <c r="AM35" s="131"/>
      <c r="AN35" s="131"/>
      <c r="AO35" s="131"/>
      <c r="AP35" s="131"/>
      <c r="AQ35" s="131"/>
      <c r="AR35" s="131"/>
      <c r="AS35" s="131"/>
      <c r="AT35" s="131"/>
      <c r="AU35" s="131"/>
      <c r="AV35" s="131"/>
      <c r="AW35" s="131"/>
      <c r="AX35" s="131"/>
      <c r="AY35" s="131"/>
      <c r="AZ35" s="131"/>
      <c r="BA35" s="131"/>
      <c r="BB35" s="131"/>
      <c r="BC35" s="131"/>
      <c r="BD35" s="348"/>
      <c r="BE35" s="348"/>
      <c r="BF35" s="348"/>
      <c r="BG35" s="348"/>
      <c r="BH35" s="132"/>
      <c r="BI35" s="131"/>
      <c r="BJ35" s="131"/>
      <c r="BK35" s="348"/>
      <c r="BL35" s="348"/>
      <c r="BM35" s="348"/>
      <c r="BN35" s="348"/>
      <c r="BO35" s="348"/>
      <c r="BP35" s="133"/>
      <c r="CE35" s="118"/>
      <c r="CF35" s="118"/>
      <c r="CG35" s="118"/>
      <c r="CH35" s="46"/>
    </row>
    <row r="36" spans="1:86" s="44" customFormat="1" ht="30" customHeight="1" x14ac:dyDescent="0.25">
      <c r="A36" s="32">
        <f>Psychologia!A35</f>
        <v>16</v>
      </c>
      <c r="B36" s="127" t="str">
        <f>IF(Psychologia!B35&gt;0,Psychologia!B35," ")</f>
        <v xml:space="preserve"> </v>
      </c>
      <c r="C36" s="128" t="str">
        <f>IF(Psychologia!C35&gt;0,Psychologia!C35," ")</f>
        <v>2026/2027</v>
      </c>
      <c r="D36" s="128" t="str">
        <f>IF(Psychologia!D35&gt;0,Psychologia!D35," ")</f>
        <v xml:space="preserve"> </v>
      </c>
      <c r="E36" s="127">
        <f>IF(Psychologia!E35&gt;0,Psychologia!E35," ")</f>
        <v>1</v>
      </c>
      <c r="F36" s="32" t="str">
        <f>IF(Psychologia!F35&gt;0,Psychologia!F35," ")</f>
        <v>2026/2027</v>
      </c>
      <c r="G36" s="32" t="str">
        <f>IF(Psychologia!G35&gt;0,Psychologia!G35," ")</f>
        <v>RPS</v>
      </c>
      <c r="H36" s="122" t="str">
        <f>IF(Psychologia!H35&gt;0,Psychologia!H35," ")</f>
        <v xml:space="preserve"> </v>
      </c>
      <c r="I36" s="122" t="str">
        <f>IF(Psychologia!I35&gt;0,Psychologia!I35," ")</f>
        <v>Trening umiejętności interpersonalnych I</v>
      </c>
      <c r="J36" s="123">
        <f>Psychologia!Y35+Psychologia!AV35</f>
        <v>75</v>
      </c>
      <c r="K36" s="124">
        <f>Psychologia!AS35+Psychologia!BP35</f>
        <v>30</v>
      </c>
      <c r="L36" s="125">
        <f>Psychologia!Z35+Psychologia!AW35</f>
        <v>45</v>
      </c>
      <c r="M36" s="126">
        <f>Psychologia!AB35+Psychologia!AD35+Psychologia!AY35+Psychologia!BA35</f>
        <v>0</v>
      </c>
      <c r="N36" s="220">
        <f>Psychologia!AA35+Psychologia!AX35</f>
        <v>45</v>
      </c>
      <c r="O36" s="232">
        <f>Psychologia!X35+Psychologia!AU35</f>
        <v>3</v>
      </c>
      <c r="P36" s="128" t="str">
        <f>IF(Psychologia!V35&gt;0,Psychologia!V35," ")</f>
        <v>zal/o</v>
      </c>
      <c r="Q36" s="150">
        <f t="shared" si="0"/>
        <v>0</v>
      </c>
      <c r="R36" s="135">
        <f t="shared" si="1"/>
        <v>0</v>
      </c>
      <c r="S36" s="161">
        <f t="shared" si="2"/>
        <v>0</v>
      </c>
      <c r="T36" s="132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2"/>
      <c r="AG36" s="131"/>
      <c r="AH36" s="131"/>
      <c r="AI36" s="131"/>
      <c r="AJ36" s="131"/>
      <c r="AK36" s="131"/>
      <c r="AL36" s="131"/>
      <c r="AM36" s="131"/>
      <c r="AN36" s="131"/>
      <c r="AO36" s="131"/>
      <c r="AP36" s="131"/>
      <c r="AQ36" s="131"/>
      <c r="AR36" s="131"/>
      <c r="AS36" s="131"/>
      <c r="AT36" s="131"/>
      <c r="AU36" s="131"/>
      <c r="AV36" s="131"/>
      <c r="AW36" s="131"/>
      <c r="AX36" s="131"/>
      <c r="AY36" s="131"/>
      <c r="AZ36" s="131"/>
      <c r="BA36" s="131"/>
      <c r="BB36" s="131"/>
      <c r="BC36" s="131"/>
      <c r="BD36" s="348"/>
      <c r="BE36" s="348"/>
      <c r="BF36" s="348"/>
      <c r="BG36" s="348"/>
      <c r="BH36" s="132"/>
      <c r="BI36" s="131"/>
      <c r="BJ36" s="131"/>
      <c r="BK36" s="348"/>
      <c r="BL36" s="348"/>
      <c r="BM36" s="348"/>
      <c r="BN36" s="348"/>
      <c r="BO36" s="348"/>
      <c r="BP36" s="133"/>
      <c r="CE36" s="118"/>
      <c r="CF36" s="118"/>
      <c r="CG36" s="118"/>
      <c r="CH36" s="46"/>
    </row>
    <row r="37" spans="1:86" s="44" customFormat="1" ht="30" customHeight="1" x14ac:dyDescent="0.25">
      <c r="A37" s="32">
        <f>Psychologia!A37</f>
        <v>18</v>
      </c>
      <c r="B37" s="127" t="str">
        <f>IF(Psychologia!B37&gt;0,Psychologia!B37," ")</f>
        <v xml:space="preserve"> </v>
      </c>
      <c r="C37" s="128" t="str">
        <f>IF(Psychologia!C37&gt;0,Psychologia!C37," ")</f>
        <v>2026/2027</v>
      </c>
      <c r="D37" s="128" t="str">
        <f>IF(Psychologia!D37&gt;0,Psychologia!D37," ")</f>
        <v xml:space="preserve"> </v>
      </c>
      <c r="E37" s="127">
        <f>IF(Psychologia!E37&gt;0,Psychologia!E37," ")</f>
        <v>1</v>
      </c>
      <c r="F37" s="32" t="str">
        <f>IF(Psychologia!F37&gt;0,Psychologia!F37," ")</f>
        <v>2026/2027</v>
      </c>
      <c r="G37" s="32" t="str">
        <f>IF(Psychologia!G37&gt;0,Psychologia!G37," ")</f>
        <v>RPS</v>
      </c>
      <c r="H37" s="122" t="str">
        <f>IF(Psychologia!H37&gt;0,Psychologia!H37," ")</f>
        <v xml:space="preserve"> </v>
      </c>
      <c r="I37" s="122" t="str">
        <f>IF(Psychologia!I37&gt;0,Psychologia!I37," ")</f>
        <v>Wprowadzenie do neuroanatomii</v>
      </c>
      <c r="J37" s="123">
        <f>Psychologia!Y37+Psychologia!AV37</f>
        <v>125</v>
      </c>
      <c r="K37" s="124">
        <f>Psychologia!AS37+Psychologia!BP37</f>
        <v>65</v>
      </c>
      <c r="L37" s="125">
        <f>Psychologia!Z37+Psychologia!AW37</f>
        <v>60</v>
      </c>
      <c r="M37" s="126">
        <f>Psychologia!AB37+Psychologia!AD37+Psychologia!AY37+Psychologia!BA37</f>
        <v>20</v>
      </c>
      <c r="N37" s="220">
        <f>Psychologia!AA37+Psychologia!AX37</f>
        <v>60</v>
      </c>
      <c r="O37" s="232">
        <f>Psychologia!X37+Psychologia!AU37</f>
        <v>5</v>
      </c>
      <c r="P37" s="128" t="str">
        <f>IF(Psychologia!V37&gt;0,Psychologia!V37," ")</f>
        <v>zal/o</v>
      </c>
      <c r="Q37" s="150">
        <f t="shared" si="0"/>
        <v>0</v>
      </c>
      <c r="R37" s="135">
        <f t="shared" si="1"/>
        <v>0</v>
      </c>
      <c r="S37" s="161">
        <f t="shared" si="2"/>
        <v>0</v>
      </c>
      <c r="T37" s="132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2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  <c r="AX37" s="131"/>
      <c r="AY37" s="131"/>
      <c r="AZ37" s="131"/>
      <c r="BA37" s="131"/>
      <c r="BB37" s="131"/>
      <c r="BC37" s="131"/>
      <c r="BD37" s="348"/>
      <c r="BE37" s="348"/>
      <c r="BF37" s="348"/>
      <c r="BG37" s="348"/>
      <c r="BH37" s="132"/>
      <c r="BI37" s="131"/>
      <c r="BJ37" s="131"/>
      <c r="BK37" s="348"/>
      <c r="BL37" s="348"/>
      <c r="BM37" s="348"/>
      <c r="BN37" s="348"/>
      <c r="BO37" s="348"/>
      <c r="BP37" s="133"/>
      <c r="CE37" s="118"/>
      <c r="CF37" s="118"/>
      <c r="CG37" s="118"/>
      <c r="CH37" s="46"/>
    </row>
    <row r="38" spans="1:86" s="44" customFormat="1" ht="30" customHeight="1" x14ac:dyDescent="0.25">
      <c r="A38" s="32">
        <f>Psychologia!A38</f>
        <v>19</v>
      </c>
      <c r="B38" s="127" t="str">
        <f>IF(Psychologia!B38&gt;0,Psychologia!B38," ")</f>
        <v xml:space="preserve"> </v>
      </c>
      <c r="C38" s="128" t="str">
        <f>IF(Psychologia!C38&gt;0,Psychologia!C38," ")</f>
        <v>2026/2027</v>
      </c>
      <c r="D38" s="128" t="str">
        <f>IF(Psychologia!D38&gt;0,Psychologia!D38," ")</f>
        <v xml:space="preserve"> </v>
      </c>
      <c r="E38" s="127">
        <f>IF(Psychologia!E38&gt;0,Psychologia!E38," ")</f>
        <v>1</v>
      </c>
      <c r="F38" s="32" t="str">
        <f>IF(Psychologia!F38&gt;0,Psychologia!F38," ")</f>
        <v>2026/2027</v>
      </c>
      <c r="G38" s="32" t="str">
        <f>IF(Psychologia!G38&gt;0,Psychologia!G38," ")</f>
        <v>RPS</v>
      </c>
      <c r="H38" s="122" t="str">
        <f>IF(Psychologia!H38&gt;0,Psychologia!H38," ")</f>
        <v xml:space="preserve"> </v>
      </c>
      <c r="I38" s="122" t="str">
        <f>IF(Psychologia!I38&gt;0,Psychologia!I38," ")</f>
        <v>Wprowadzenie do psychologii i historii myśli psychologicznej</v>
      </c>
      <c r="J38" s="123">
        <f>Psychologia!Y38+Psychologia!AV38</f>
        <v>100</v>
      </c>
      <c r="K38" s="124">
        <f>Psychologia!AS38+Psychologia!BP38</f>
        <v>60</v>
      </c>
      <c r="L38" s="125">
        <f>Psychologia!Z38+Psychologia!AW38</f>
        <v>40</v>
      </c>
      <c r="M38" s="126">
        <f>Psychologia!AB38+Psychologia!AD38+Psychologia!AY38+Psychologia!BA38</f>
        <v>30</v>
      </c>
      <c r="N38" s="220">
        <f>Psychologia!AA38+Psychologia!AX38</f>
        <v>40</v>
      </c>
      <c r="O38" s="232">
        <f>Psychologia!X38+Psychologia!AU38</f>
        <v>4</v>
      </c>
      <c r="P38" s="128" t="str">
        <f>IF(Psychologia!V38&gt;0,Psychologia!V38," ")</f>
        <v>egz</v>
      </c>
      <c r="Q38" s="150">
        <f t="shared" si="0"/>
        <v>0</v>
      </c>
      <c r="R38" s="135">
        <f t="shared" si="1"/>
        <v>0</v>
      </c>
      <c r="S38" s="161">
        <f t="shared" si="2"/>
        <v>0</v>
      </c>
      <c r="T38" s="132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2"/>
      <c r="AG38" s="131"/>
      <c r="AH38" s="131"/>
      <c r="AI38" s="131"/>
      <c r="AJ38" s="131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  <c r="AV38" s="131"/>
      <c r="AW38" s="131"/>
      <c r="AX38" s="131"/>
      <c r="AY38" s="131"/>
      <c r="AZ38" s="131"/>
      <c r="BA38" s="131"/>
      <c r="BB38" s="131"/>
      <c r="BC38" s="131"/>
      <c r="BD38" s="348"/>
      <c r="BE38" s="348"/>
      <c r="BF38" s="348"/>
      <c r="BG38" s="348"/>
      <c r="BH38" s="132"/>
      <c r="BI38" s="131"/>
      <c r="BJ38" s="131"/>
      <c r="BK38" s="348"/>
      <c r="BL38" s="348"/>
      <c r="BM38" s="348"/>
      <c r="BN38" s="348"/>
      <c r="BO38" s="348"/>
      <c r="BP38" s="133"/>
      <c r="CE38" s="118"/>
      <c r="CF38" s="118"/>
      <c r="CG38" s="118"/>
      <c r="CH38" s="46"/>
    </row>
    <row r="39" spans="1:86" s="44" customFormat="1" ht="30" customHeight="1" x14ac:dyDescent="0.25">
      <c r="A39" s="32">
        <f>Psychologia!A39</f>
        <v>20</v>
      </c>
      <c r="B39" s="127" t="str">
        <f>IF(Psychologia!B39&gt;0,Psychologia!B39," ")</f>
        <v xml:space="preserve"> </v>
      </c>
      <c r="C39" s="128" t="str">
        <f>IF(Psychologia!C39&gt;0,Psychologia!C39," ")</f>
        <v>2026/2027</v>
      </c>
      <c r="D39" s="128" t="str">
        <f>IF(Psychologia!D39&gt;0,Psychologia!D39," ")</f>
        <v xml:space="preserve"> </v>
      </c>
      <c r="E39" s="127">
        <f>IF(Psychologia!E39&gt;0,Psychologia!E39," ")</f>
        <v>1</v>
      </c>
      <c r="F39" s="32" t="str">
        <f>IF(Psychologia!F39&gt;0,Psychologia!F39," ")</f>
        <v>2026/2027</v>
      </c>
      <c r="G39" s="32" t="str">
        <f>IF(Psychologia!G39&gt;0,Psychologia!G39," ")</f>
        <v>RPS</v>
      </c>
      <c r="H39" s="122" t="str">
        <f>IF(Psychologia!H39&gt;0,Psychologia!H39," ")</f>
        <v xml:space="preserve"> </v>
      </c>
      <c r="I39" s="122" t="str">
        <f>IF(Psychologia!I39&gt;0,Psychologia!I39," ")</f>
        <v>Wprowadzenie do psychologii społecznej</v>
      </c>
      <c r="J39" s="123">
        <f>Psychologia!Y39+Psychologia!AV39</f>
        <v>100</v>
      </c>
      <c r="K39" s="124">
        <f>Psychologia!AS39+Psychologia!BP39</f>
        <v>45</v>
      </c>
      <c r="L39" s="125">
        <f>Psychologia!Z39+Psychologia!AW39</f>
        <v>55</v>
      </c>
      <c r="M39" s="126">
        <f>Psychologia!AB39+Psychologia!AD39+Psychologia!AY39+Psychologia!BA39</f>
        <v>30</v>
      </c>
      <c r="N39" s="220">
        <f>Psychologia!AA39+Psychologia!AX39</f>
        <v>55</v>
      </c>
      <c r="O39" s="232">
        <f>Psychologia!X39+Psychologia!AU39</f>
        <v>4</v>
      </c>
      <c r="P39" s="128" t="str">
        <f>IF(Psychologia!V39&gt;0,Psychologia!V39," ")</f>
        <v>egz</v>
      </c>
      <c r="Q39" s="150">
        <f t="shared" si="0"/>
        <v>0</v>
      </c>
      <c r="R39" s="135">
        <f t="shared" si="1"/>
        <v>0</v>
      </c>
      <c r="S39" s="161">
        <f t="shared" si="2"/>
        <v>0</v>
      </c>
      <c r="T39" s="132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2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  <c r="AV39" s="131"/>
      <c r="AW39" s="131"/>
      <c r="AX39" s="131"/>
      <c r="AY39" s="131"/>
      <c r="AZ39" s="131"/>
      <c r="BA39" s="131"/>
      <c r="BB39" s="131"/>
      <c r="BC39" s="131"/>
      <c r="BD39" s="348"/>
      <c r="BE39" s="348"/>
      <c r="BF39" s="348"/>
      <c r="BG39" s="348"/>
      <c r="BH39" s="132"/>
      <c r="BI39" s="131"/>
      <c r="BJ39" s="131"/>
      <c r="BK39" s="348"/>
      <c r="BL39" s="348"/>
      <c r="BM39" s="348"/>
      <c r="BN39" s="348"/>
      <c r="BO39" s="348"/>
      <c r="BP39" s="133"/>
      <c r="CE39" s="118"/>
      <c r="CF39" s="118"/>
      <c r="CG39" s="118"/>
      <c r="CH39" s="46"/>
    </row>
    <row r="40" spans="1:86" s="44" customFormat="1" ht="30" customHeight="1" x14ac:dyDescent="0.25">
      <c r="A40" s="32">
        <f>Psychologia!A40</f>
        <v>21</v>
      </c>
      <c r="B40" s="127" t="str">
        <f>IF(Psychologia!B40&gt;0,Psychologia!B40," ")</f>
        <v xml:space="preserve"> </v>
      </c>
      <c r="C40" s="128" t="str">
        <f>IF(Psychologia!C40&gt;0,Psychologia!C40," ")</f>
        <v>2026/2027</v>
      </c>
      <c r="D40" s="128" t="str">
        <f>IF(Psychologia!D40&gt;0,Psychologia!D40," ")</f>
        <v xml:space="preserve"> </v>
      </c>
      <c r="E40" s="127">
        <f>IF(Psychologia!E40&gt;0,Psychologia!E40," ")</f>
        <v>1</v>
      </c>
      <c r="F40" s="32" t="str">
        <f>IF(Psychologia!F40&gt;0,Psychologia!F40," ")</f>
        <v>2026/2027</v>
      </c>
      <c r="G40" s="32" t="str">
        <f>IF(Psychologia!G40&gt;0,Psychologia!G40," ")</f>
        <v>RPS</v>
      </c>
      <c r="H40" s="122" t="str">
        <f>IF(Psychologia!H40&gt;0,Psychologia!H40," ")</f>
        <v xml:space="preserve"> </v>
      </c>
      <c r="I40" s="122" t="str">
        <f>IF(Psychologia!I40&gt;0,Psychologia!I40," ")</f>
        <v>Wychowanie fizyczne I</v>
      </c>
      <c r="J40" s="123">
        <f>Psychologia!Y40+Psychologia!AV40</f>
        <v>30</v>
      </c>
      <c r="K40" s="124">
        <f>Psychologia!AS40+Psychologia!BP40</f>
        <v>0</v>
      </c>
      <c r="L40" s="125">
        <f>Psychologia!Z40+Psychologia!AW40</f>
        <v>30</v>
      </c>
      <c r="M40" s="126">
        <f>Psychologia!AB40+Psychologia!AD40+Psychologia!AY40+Psychologia!BA40</f>
        <v>0</v>
      </c>
      <c r="N40" s="220">
        <f>Psychologia!AA40+Psychologia!AX40</f>
        <v>30</v>
      </c>
      <c r="O40" s="232">
        <f>Psychologia!X40+Psychologia!AU40</f>
        <v>0</v>
      </c>
      <c r="P40" s="128" t="str">
        <f>IF(Psychologia!V40&gt;0,Psychologia!V40," ")</f>
        <v>zal</v>
      </c>
      <c r="Q40" s="150">
        <f t="shared" si="0"/>
        <v>0</v>
      </c>
      <c r="R40" s="135">
        <f t="shared" si="1"/>
        <v>0</v>
      </c>
      <c r="S40" s="161">
        <f t="shared" si="2"/>
        <v>0</v>
      </c>
      <c r="T40" s="132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2"/>
      <c r="AG40" s="131"/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/>
      <c r="BA40" s="131"/>
      <c r="BB40" s="131"/>
      <c r="BC40" s="131"/>
      <c r="BD40" s="348"/>
      <c r="BE40" s="348"/>
      <c r="BF40" s="348"/>
      <c r="BG40" s="348"/>
      <c r="BH40" s="132"/>
      <c r="BI40" s="131"/>
      <c r="BJ40" s="131"/>
      <c r="BK40" s="348"/>
      <c r="BL40" s="348"/>
      <c r="BM40" s="348"/>
      <c r="BN40" s="348"/>
      <c r="BO40" s="348"/>
      <c r="BP40" s="133"/>
      <c r="CE40" s="118"/>
      <c r="CF40" s="118"/>
      <c r="CG40" s="118"/>
      <c r="CH40" s="46"/>
    </row>
    <row r="41" spans="1:86" s="44" customFormat="1" ht="30" customHeight="1" thickBot="1" x14ac:dyDescent="0.3">
      <c r="A41" s="32">
        <f>Psychologia!A41</f>
        <v>22</v>
      </c>
      <c r="B41" s="127" t="str">
        <f>IF(Psychologia!B41&gt;0,Psychologia!B41," ")</f>
        <v xml:space="preserve"> </v>
      </c>
      <c r="C41" s="128" t="str">
        <f>IF(Psychologia!C41&gt;0,Psychologia!C41," ")</f>
        <v>2026/2027</v>
      </c>
      <c r="D41" s="128" t="str">
        <f>IF(Psychologia!D41&gt;0,Psychologia!D41," ")</f>
        <v xml:space="preserve"> </v>
      </c>
      <c r="E41" s="127">
        <f>IF(Psychologia!E41&gt;0,Psychologia!E41," ")</f>
        <v>1</v>
      </c>
      <c r="F41" s="32" t="str">
        <f>IF(Psychologia!F41&gt;0,Psychologia!F41," ")</f>
        <v>2026/2027</v>
      </c>
      <c r="G41" s="32" t="str">
        <f>IF(Psychologia!G41&gt;0,Psychologia!G41," ")</f>
        <v>RPS</v>
      </c>
      <c r="H41" s="122" t="str">
        <f>IF(Psychologia!H41&gt;0,Psychologia!H41," ")</f>
        <v xml:space="preserve"> </v>
      </c>
      <c r="I41" s="122" t="str">
        <f>IF(Psychologia!I41&gt;0,Psychologia!I41," ")</f>
        <v>Wychowanie fizyczne II</v>
      </c>
      <c r="J41" s="123">
        <f>Psychologia!Y41+Psychologia!AV41</f>
        <v>30</v>
      </c>
      <c r="K41" s="124">
        <f>Psychologia!AS41+Psychologia!BP41</f>
        <v>0</v>
      </c>
      <c r="L41" s="125">
        <f>Psychologia!Z41+Psychologia!AW41</f>
        <v>30</v>
      </c>
      <c r="M41" s="126">
        <f>Psychologia!AB41+Psychologia!AD41+Psychologia!AY41+Psychologia!BA41</f>
        <v>0</v>
      </c>
      <c r="N41" s="220">
        <f>Psychologia!AA41+Psychologia!AX41</f>
        <v>30</v>
      </c>
      <c r="O41" s="232">
        <f>Psychologia!X41+Psychologia!AU41</f>
        <v>0</v>
      </c>
      <c r="P41" s="128" t="str">
        <f>IF(Psychologia!V41&gt;0,Psychologia!V41," ")</f>
        <v>zal</v>
      </c>
      <c r="Q41" s="150">
        <f t="shared" si="0"/>
        <v>0</v>
      </c>
      <c r="R41" s="135">
        <f t="shared" si="1"/>
        <v>0</v>
      </c>
      <c r="S41" s="161">
        <f t="shared" si="2"/>
        <v>0</v>
      </c>
      <c r="T41" s="132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2"/>
      <c r="AG41" s="131"/>
      <c r="AH41" s="131"/>
      <c r="AI41" s="131"/>
      <c r="AJ41" s="131"/>
      <c r="AK41" s="131"/>
      <c r="AL41" s="131"/>
      <c r="AM41" s="131"/>
      <c r="AN41" s="131"/>
      <c r="AO41" s="131"/>
      <c r="AP41" s="131"/>
      <c r="AQ41" s="131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31"/>
      <c r="BD41" s="348"/>
      <c r="BE41" s="348"/>
      <c r="BF41" s="348"/>
      <c r="BG41" s="348"/>
      <c r="BH41" s="350"/>
      <c r="BI41" s="351"/>
      <c r="BJ41" s="351"/>
      <c r="BK41" s="352"/>
      <c r="BL41" s="352"/>
      <c r="BM41" s="352"/>
      <c r="BN41" s="352"/>
      <c r="BO41" s="352"/>
      <c r="BP41" s="353"/>
      <c r="CE41" s="118"/>
      <c r="CF41" s="118"/>
      <c r="CG41" s="118"/>
      <c r="CH41" s="46"/>
    </row>
    <row r="42" spans="1:86" s="44" customFormat="1" ht="30" customHeight="1" thickBot="1" x14ac:dyDescent="0.3">
      <c r="A42" s="219"/>
      <c r="B42" s="146" t="str">
        <f>IF(Psychologia!B42&gt;0,Psychologia!B42," ")</f>
        <v xml:space="preserve"> </v>
      </c>
      <c r="C42" s="147" t="str">
        <f>IF(Psychologia!C42&gt;0,Psychologia!C42," ")</f>
        <v xml:space="preserve"> </v>
      </c>
      <c r="D42" s="147" t="str">
        <f>IF(Psychologia!D42&gt;0,Psychologia!D42," ")</f>
        <v xml:space="preserve"> </v>
      </c>
      <c r="E42" s="147" t="str">
        <f>IF(Psychologia!E42&gt;0,Psychologia!E42," ")</f>
        <v xml:space="preserve"> </v>
      </c>
      <c r="F42" s="147" t="str">
        <f>IF(Psychologia!F42&gt;0,Psychologia!F42," ")</f>
        <v xml:space="preserve"> </v>
      </c>
      <c r="G42" s="147" t="str">
        <f>IF(Psychologia!G42&gt;0,Psychologia!G42," ")</f>
        <v xml:space="preserve"> </v>
      </c>
      <c r="H42" s="147" t="str">
        <f>IF(Psychologia!H42&gt;0,Psychologia!H42," ")</f>
        <v xml:space="preserve"> </v>
      </c>
      <c r="I42" s="147" t="str">
        <f>IF(Psychologia!I42&gt;0,Psychologia!I42," ")</f>
        <v>sumy dla 1 roku</v>
      </c>
      <c r="J42" s="147">
        <f>Psychologia!Y42+Psychologia!AV42</f>
        <v>1593</v>
      </c>
      <c r="K42" s="147">
        <f>Psychologia!AS42+Psychologia!BP42</f>
        <v>730</v>
      </c>
      <c r="L42" s="147">
        <f>SUM(Psychologia!O20:O41)</f>
        <v>863</v>
      </c>
      <c r="M42" s="147" t="e">
        <f>SUM(M20:M41)</f>
        <v>#REF!</v>
      </c>
      <c r="N42" s="147">
        <f>SUM(Psychologia!P20:P41)</f>
        <v>863</v>
      </c>
      <c r="O42" s="148">
        <f>SUM(Psychologia!Q20:Q41)</f>
        <v>60</v>
      </c>
      <c r="P42" s="147" t="str">
        <f>IF(Psychologia!V42&gt;0,Psychologia!V42," ")</f>
        <v xml:space="preserve"> </v>
      </c>
      <c r="Q42" s="151">
        <f>SUM(Q20:Q41)</f>
        <v>0</v>
      </c>
      <c r="R42" s="151">
        <f t="shared" ref="R42:S42" si="5">SUM(R20:R41)</f>
        <v>0</v>
      </c>
      <c r="S42" s="151">
        <f t="shared" si="5"/>
        <v>0</v>
      </c>
      <c r="T42" s="151">
        <f>SUM(T20:T41)</f>
        <v>0</v>
      </c>
      <c r="U42" s="151">
        <f t="shared" ref="U42:BP42" si="6">SUM(U20:U41)</f>
        <v>0</v>
      </c>
      <c r="V42" s="151">
        <f t="shared" si="6"/>
        <v>0</v>
      </c>
      <c r="W42" s="151">
        <f t="shared" si="6"/>
        <v>0</v>
      </c>
      <c r="X42" s="151">
        <f t="shared" si="6"/>
        <v>0</v>
      </c>
      <c r="Y42" s="151">
        <f t="shared" si="6"/>
        <v>0</v>
      </c>
      <c r="Z42" s="151">
        <f t="shared" si="6"/>
        <v>0</v>
      </c>
      <c r="AA42" s="151">
        <f t="shared" si="6"/>
        <v>0</v>
      </c>
      <c r="AB42" s="151">
        <f t="shared" si="6"/>
        <v>0</v>
      </c>
      <c r="AC42" s="151">
        <f t="shared" si="6"/>
        <v>0</v>
      </c>
      <c r="AD42" s="151">
        <f t="shared" si="6"/>
        <v>0</v>
      </c>
      <c r="AE42" s="151">
        <f t="shared" si="6"/>
        <v>0</v>
      </c>
      <c r="AF42" s="151">
        <f t="shared" si="6"/>
        <v>0</v>
      </c>
      <c r="AG42" s="151">
        <f t="shared" si="6"/>
        <v>0</v>
      </c>
      <c r="AH42" s="151">
        <f t="shared" si="6"/>
        <v>0</v>
      </c>
      <c r="AI42" s="151">
        <f t="shared" si="6"/>
        <v>0</v>
      </c>
      <c r="AJ42" s="151">
        <f t="shared" si="6"/>
        <v>0</v>
      </c>
      <c r="AK42" s="151">
        <f t="shared" si="6"/>
        <v>0</v>
      </c>
      <c r="AL42" s="151">
        <f t="shared" si="6"/>
        <v>0</v>
      </c>
      <c r="AM42" s="151">
        <f t="shared" si="6"/>
        <v>0</v>
      </c>
      <c r="AN42" s="151">
        <f t="shared" si="6"/>
        <v>0</v>
      </c>
      <c r="AO42" s="151">
        <f t="shared" si="6"/>
        <v>0</v>
      </c>
      <c r="AP42" s="151">
        <f t="shared" si="6"/>
        <v>0</v>
      </c>
      <c r="AQ42" s="151">
        <f t="shared" si="6"/>
        <v>0</v>
      </c>
      <c r="AR42" s="151">
        <f t="shared" si="6"/>
        <v>0</v>
      </c>
      <c r="AS42" s="151">
        <f t="shared" si="6"/>
        <v>0</v>
      </c>
      <c r="AT42" s="151">
        <f t="shared" si="6"/>
        <v>0</v>
      </c>
      <c r="AU42" s="151">
        <f t="shared" si="6"/>
        <v>0</v>
      </c>
      <c r="AV42" s="151">
        <f t="shared" si="6"/>
        <v>0</v>
      </c>
      <c r="AW42" s="151">
        <f t="shared" si="6"/>
        <v>0</v>
      </c>
      <c r="AX42" s="151">
        <f t="shared" si="6"/>
        <v>0</v>
      </c>
      <c r="AY42" s="151">
        <f t="shared" si="6"/>
        <v>0</v>
      </c>
      <c r="AZ42" s="151">
        <f t="shared" si="6"/>
        <v>0</v>
      </c>
      <c r="BA42" s="151">
        <f t="shared" si="6"/>
        <v>0</v>
      </c>
      <c r="BB42" s="151">
        <f t="shared" si="6"/>
        <v>0</v>
      </c>
      <c r="BC42" s="151">
        <f t="shared" si="6"/>
        <v>0</v>
      </c>
      <c r="BD42" s="151">
        <f t="shared" si="6"/>
        <v>0</v>
      </c>
      <c r="BE42" s="151">
        <f t="shared" si="6"/>
        <v>0</v>
      </c>
      <c r="BF42" s="151">
        <f t="shared" si="6"/>
        <v>0</v>
      </c>
      <c r="BG42" s="151">
        <f t="shared" si="6"/>
        <v>0</v>
      </c>
      <c r="BH42" s="151">
        <f t="shared" si="6"/>
        <v>0</v>
      </c>
      <c r="BI42" s="151">
        <f t="shared" si="6"/>
        <v>0</v>
      </c>
      <c r="BJ42" s="151">
        <f t="shared" si="6"/>
        <v>0</v>
      </c>
      <c r="BK42" s="151">
        <f t="shared" si="6"/>
        <v>0</v>
      </c>
      <c r="BL42" s="151">
        <f t="shared" si="6"/>
        <v>0</v>
      </c>
      <c r="BM42" s="151">
        <f t="shared" si="6"/>
        <v>0</v>
      </c>
      <c r="BN42" s="151">
        <f t="shared" si="6"/>
        <v>0</v>
      </c>
      <c r="BO42" s="151">
        <f t="shared" si="6"/>
        <v>0</v>
      </c>
      <c r="BP42" s="151">
        <f t="shared" si="6"/>
        <v>0</v>
      </c>
      <c r="BR42" s="179"/>
      <c r="BS42" s="179"/>
      <c r="BT42" s="179"/>
      <c r="BU42" s="179"/>
      <c r="BV42" s="180"/>
      <c r="CE42" s="118"/>
      <c r="CF42" s="118"/>
      <c r="CG42" s="118"/>
      <c r="CH42" s="46"/>
    </row>
    <row r="43" spans="1:86" s="44" customFormat="1" ht="30" customHeight="1" x14ac:dyDescent="0.25">
      <c r="A43" s="32">
        <f>Psychologia!A43</f>
        <v>23</v>
      </c>
      <c r="B43" s="127" t="str">
        <f>IF(Psychologia!B43&gt;0,Psychologia!B43," ")</f>
        <v xml:space="preserve"> </v>
      </c>
      <c r="C43" s="128" t="str">
        <f>IF(Psychologia!C43&gt;0,Psychologia!C43," ")</f>
        <v>2026/2027</v>
      </c>
      <c r="D43" s="128" t="str">
        <f>IF(Psychologia!D43&gt;0,Psychologia!D43," ")</f>
        <v xml:space="preserve"> </v>
      </c>
      <c r="E43" s="127">
        <f>IF(Psychologia!E43&gt;0,Psychologia!E43," ")</f>
        <v>2</v>
      </c>
      <c r="F43" s="32" t="str">
        <f>IF(Psychologia!F43&gt;0,Psychologia!F43," ")</f>
        <v>2027/2028</v>
      </c>
      <c r="G43" s="32" t="str">
        <f>IF(Psychologia!G43&gt;0,Psychologia!G43," ")</f>
        <v>RPS</v>
      </c>
      <c r="H43" s="122" t="str">
        <f>IF(Psychologia!H43&gt;0,Psychologia!H43," ")</f>
        <v xml:space="preserve"> </v>
      </c>
      <c r="I43" s="122" t="str">
        <f>IF(Psychologia!I43&gt;0,Psychologia!I43," ")</f>
        <v>Etyka zawodu psychologa</v>
      </c>
      <c r="J43" s="123">
        <f>Psychologia!Y43+Psychologia!AV43</f>
        <v>100</v>
      </c>
      <c r="K43" s="124">
        <f>Psychologia!AS43+Psychologia!BP43</f>
        <v>60</v>
      </c>
      <c r="L43" s="125">
        <f>Psychologia!Z43+Psychologia!AW43</f>
        <v>40</v>
      </c>
      <c r="M43" s="126">
        <f>Psychologia!AB43+Psychologia!AD43+Psychologia!AY43+Psychologia!BA43</f>
        <v>5</v>
      </c>
      <c r="N43" s="220">
        <f>Psychologia!AA43+Psychologia!AX43</f>
        <v>40</v>
      </c>
      <c r="O43" s="232">
        <f>Psychologia!X43+Psychologia!AU43</f>
        <v>4</v>
      </c>
      <c r="P43" s="128" t="str">
        <f>IF(Psychologia!V43&gt;0,Psychologia!V43," ")</f>
        <v>egz</v>
      </c>
      <c r="Q43" s="150">
        <f t="shared" ref="Q43:Q60" si="7">SUM(T43:AE43)</f>
        <v>0</v>
      </c>
      <c r="R43" s="135">
        <f t="shared" ref="R43:R53" si="8">SUM(AF43:BG43)</f>
        <v>0</v>
      </c>
      <c r="S43" s="161">
        <f t="shared" ref="S43:S60" si="9">SUM(BH43:BP43)</f>
        <v>0</v>
      </c>
      <c r="T43" s="132"/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2"/>
      <c r="AG43" s="131"/>
      <c r="AH43" s="131"/>
      <c r="AI43" s="131"/>
      <c r="AJ43" s="131"/>
      <c r="AK43" s="131"/>
      <c r="AL43" s="131"/>
      <c r="AM43" s="131"/>
      <c r="AN43" s="131"/>
      <c r="AO43" s="131"/>
      <c r="AP43" s="131"/>
      <c r="AQ43" s="131"/>
      <c r="AR43" s="131"/>
      <c r="AS43" s="131"/>
      <c r="AT43" s="131"/>
      <c r="AU43" s="131"/>
      <c r="AV43" s="131"/>
      <c r="AW43" s="131"/>
      <c r="AX43" s="131"/>
      <c r="AY43" s="131"/>
      <c r="AZ43" s="131"/>
      <c r="BA43" s="131"/>
      <c r="BB43" s="131"/>
      <c r="BC43" s="131"/>
      <c r="BD43" s="348"/>
      <c r="BE43" s="348"/>
      <c r="BF43" s="348"/>
      <c r="BG43" s="348"/>
      <c r="BH43" s="144"/>
      <c r="BI43" s="136"/>
      <c r="BJ43" s="136"/>
      <c r="BK43" s="349"/>
      <c r="BL43" s="349"/>
      <c r="BM43" s="349"/>
      <c r="BN43" s="349"/>
      <c r="BO43" s="349"/>
      <c r="BP43" s="145"/>
      <c r="CE43" s="118"/>
      <c r="CF43" s="118"/>
      <c r="CG43" s="118"/>
      <c r="CH43" s="46"/>
    </row>
    <row r="44" spans="1:86" s="44" customFormat="1" ht="30" customHeight="1" x14ac:dyDescent="0.25">
      <c r="A44" s="32">
        <f>Psychologia!A44</f>
        <v>24</v>
      </c>
      <c r="B44" s="127" t="str">
        <f>IF(Psychologia!B44&gt;0,Psychologia!B44," ")</f>
        <v xml:space="preserve"> </v>
      </c>
      <c r="C44" s="128" t="str">
        <f>IF(Psychologia!C44&gt;0,Psychologia!C44," ")</f>
        <v>2026/2027</v>
      </c>
      <c r="D44" s="128" t="str">
        <f>IF(Psychologia!D44&gt;0,Psychologia!D44," ")</f>
        <v xml:space="preserve"> </v>
      </c>
      <c r="E44" s="127">
        <f>IF(Psychologia!E44&gt;0,Psychologia!E44," ")</f>
        <v>2</v>
      </c>
      <c r="F44" s="32" t="str">
        <f>IF(Psychologia!F44&gt;0,Psychologia!F44," ")</f>
        <v>2027/2028</v>
      </c>
      <c r="G44" s="32" t="str">
        <f>IF(Psychologia!G44&gt;0,Psychologia!G44," ")</f>
        <v>RPS</v>
      </c>
      <c r="H44" s="122" t="str">
        <f>IF(Psychologia!H44&gt;0,Psychologia!H44," ")</f>
        <v xml:space="preserve"> </v>
      </c>
      <c r="I44" s="122" t="str">
        <f>IF(Psychologia!I44&gt;0,Psychologia!I44," ")</f>
        <v>Lektorat z języka angielskiego III</v>
      </c>
      <c r="J44" s="123">
        <f>Psychologia!Y44+Psychologia!AV44</f>
        <v>50</v>
      </c>
      <c r="K44" s="124">
        <f>Psychologia!AS44+Psychologia!BP44</f>
        <v>20</v>
      </c>
      <c r="L44" s="125">
        <f>Psychologia!Z44+Psychologia!AW44</f>
        <v>30</v>
      </c>
      <c r="M44" s="126">
        <f>Psychologia!AB44+Psychologia!AD44+Psychologia!AY44+Psychologia!BA44</f>
        <v>0</v>
      </c>
      <c r="N44" s="220">
        <f>Psychologia!AA44+Psychologia!AX44</f>
        <v>30</v>
      </c>
      <c r="O44" s="232">
        <f>Psychologia!X44+Psychologia!AU44</f>
        <v>2</v>
      </c>
      <c r="P44" s="128" t="str">
        <f>IF(Psychologia!V44&gt;0,Psychologia!V44," ")</f>
        <v>zal/o</v>
      </c>
      <c r="Q44" s="150">
        <f t="shared" si="7"/>
        <v>0</v>
      </c>
      <c r="R44" s="135">
        <f>SUM(AF44:BG44)</f>
        <v>0</v>
      </c>
      <c r="S44" s="161">
        <f t="shared" si="9"/>
        <v>0</v>
      </c>
      <c r="T44" s="132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2"/>
      <c r="AG44" s="131"/>
      <c r="AH44" s="131"/>
      <c r="AI44" s="131"/>
      <c r="AJ44" s="131"/>
      <c r="AK44" s="131"/>
      <c r="AL44" s="131"/>
      <c r="AM44" s="131"/>
      <c r="AN44" s="131"/>
      <c r="AO44" s="131"/>
      <c r="AP44" s="131"/>
      <c r="AQ44" s="131"/>
      <c r="AR44" s="131"/>
      <c r="AS44" s="131"/>
      <c r="AT44" s="131"/>
      <c r="AU44" s="131"/>
      <c r="AV44" s="131"/>
      <c r="AW44" s="131"/>
      <c r="AX44" s="131"/>
      <c r="AY44" s="131"/>
      <c r="AZ44" s="131"/>
      <c r="BA44" s="131"/>
      <c r="BB44" s="131"/>
      <c r="BC44" s="131"/>
      <c r="BD44" s="348"/>
      <c r="BE44" s="348"/>
      <c r="BF44" s="348"/>
      <c r="BG44" s="348"/>
      <c r="BH44" s="144"/>
      <c r="BI44" s="136"/>
      <c r="BJ44" s="136"/>
      <c r="BK44" s="349"/>
      <c r="BL44" s="349"/>
      <c r="BM44" s="349"/>
      <c r="BN44" s="349"/>
      <c r="BO44" s="349"/>
      <c r="BP44" s="145"/>
      <c r="CE44" s="118"/>
      <c r="CF44" s="118"/>
      <c r="CG44" s="118"/>
      <c r="CH44" s="46"/>
    </row>
    <row r="45" spans="1:86" s="44" customFormat="1" ht="30" customHeight="1" x14ac:dyDescent="0.25">
      <c r="A45" s="32">
        <f>Psychologia!A45</f>
        <v>25</v>
      </c>
      <c r="B45" s="127" t="str">
        <f>IF(Psychologia!B45&gt;0,Psychologia!B45," ")</f>
        <v xml:space="preserve"> </v>
      </c>
      <c r="C45" s="128" t="str">
        <f>IF(Psychologia!C45&gt;0,Psychologia!C45," ")</f>
        <v>2026/2027</v>
      </c>
      <c r="D45" s="128" t="str">
        <f>IF(Psychologia!D45&gt;0,Psychologia!D45," ")</f>
        <v xml:space="preserve"> </v>
      </c>
      <c r="E45" s="127">
        <f>IF(Psychologia!E45&gt;0,Psychologia!E45," ")</f>
        <v>2</v>
      </c>
      <c r="F45" s="32" t="str">
        <f>IF(Psychologia!F45&gt;0,Psychologia!F45," ")</f>
        <v>2027/2028</v>
      </c>
      <c r="G45" s="32" t="str">
        <f>IF(Psychologia!G45&gt;0,Psychologia!G45," ")</f>
        <v>RPS</v>
      </c>
      <c r="H45" s="122" t="str">
        <f>IF(Psychologia!H45&gt;0,Psychologia!H45," ")</f>
        <v xml:space="preserve"> </v>
      </c>
      <c r="I45" s="122" t="str">
        <f>IF(Psychologia!I45&gt;0,Psychologia!I45," ")</f>
        <v>Lektorat z języka angielskiego IV</v>
      </c>
      <c r="J45" s="123">
        <f>Psychologia!Y45+Psychologia!AV45</f>
        <v>75</v>
      </c>
      <c r="K45" s="124">
        <f>Psychologia!AS45+Psychologia!BP45</f>
        <v>45</v>
      </c>
      <c r="L45" s="125">
        <f>Psychologia!Z45+Psychologia!AW45</f>
        <v>30</v>
      </c>
      <c r="M45" s="126">
        <f>Psychologia!AB45+Psychologia!AD45+Psychologia!AY45+Psychologia!BA45</f>
        <v>0</v>
      </c>
      <c r="N45" s="220">
        <f>Psychologia!AA45+Psychologia!AX45</f>
        <v>30</v>
      </c>
      <c r="O45" s="232">
        <f>Psychologia!X45+Psychologia!AU45</f>
        <v>3</v>
      </c>
      <c r="P45" s="128" t="str">
        <f>IF(Psychologia!V45&gt;0,Psychologia!V45," ")</f>
        <v>egz</v>
      </c>
      <c r="Q45" s="150">
        <f t="shared" si="7"/>
        <v>0</v>
      </c>
      <c r="R45" s="135">
        <f>SUM(AF45:BG45)</f>
        <v>0</v>
      </c>
      <c r="S45" s="161">
        <f t="shared" si="9"/>
        <v>0</v>
      </c>
      <c r="T45" s="132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2"/>
      <c r="AG45" s="131"/>
      <c r="AH45" s="131"/>
      <c r="AI45" s="131"/>
      <c r="AJ45" s="131"/>
      <c r="AK45" s="131"/>
      <c r="AL45" s="131"/>
      <c r="AM45" s="131"/>
      <c r="AN45" s="131"/>
      <c r="AO45" s="131"/>
      <c r="AP45" s="131"/>
      <c r="AQ45" s="131"/>
      <c r="AR45" s="131"/>
      <c r="AS45" s="131"/>
      <c r="AT45" s="131"/>
      <c r="AU45" s="131"/>
      <c r="AV45" s="131"/>
      <c r="AW45" s="131"/>
      <c r="AX45" s="131"/>
      <c r="AY45" s="131"/>
      <c r="AZ45" s="131"/>
      <c r="BA45" s="131"/>
      <c r="BB45" s="131"/>
      <c r="BC45" s="131"/>
      <c r="BD45" s="348"/>
      <c r="BE45" s="348"/>
      <c r="BF45" s="348"/>
      <c r="BG45" s="348"/>
      <c r="BH45" s="144"/>
      <c r="BI45" s="136"/>
      <c r="BJ45" s="136"/>
      <c r="BK45" s="349"/>
      <c r="BL45" s="349"/>
      <c r="BM45" s="349"/>
      <c r="BN45" s="349"/>
      <c r="BO45" s="349"/>
      <c r="BP45" s="145"/>
      <c r="CE45" s="118"/>
      <c r="CF45" s="118"/>
      <c r="CG45" s="118"/>
      <c r="CH45" s="46"/>
    </row>
    <row r="46" spans="1:86" s="44" customFormat="1" ht="30" customHeight="1" x14ac:dyDescent="0.25">
      <c r="A46" s="32">
        <f>Psychologia!A46</f>
        <v>26</v>
      </c>
      <c r="B46" s="127" t="str">
        <f>IF(Psychologia!B46&gt;0,Psychologia!B46," ")</f>
        <v xml:space="preserve"> </v>
      </c>
      <c r="C46" s="128" t="str">
        <f>IF(Psychologia!C46&gt;0,Psychologia!C46," ")</f>
        <v>2026/2027</v>
      </c>
      <c r="D46" s="128" t="str">
        <f>IF(Psychologia!D46&gt;0,Psychologia!D46," ")</f>
        <v xml:space="preserve"> </v>
      </c>
      <c r="E46" s="127">
        <f>IF(Psychologia!E46&gt;0,Psychologia!E46," ")</f>
        <v>2</v>
      </c>
      <c r="F46" s="32" t="str">
        <f>IF(Psychologia!F46&gt;0,Psychologia!F46," ")</f>
        <v>2027/2028</v>
      </c>
      <c r="G46" s="32" t="str">
        <f>IF(Psychologia!G46&gt;0,Psychologia!G46," ")</f>
        <v>RPS</v>
      </c>
      <c r="H46" s="122" t="str">
        <f>IF(Psychologia!H46&gt;0,Psychologia!H46," ")</f>
        <v xml:space="preserve"> </v>
      </c>
      <c r="I46" s="122" t="str">
        <f>IF(Psychologia!I46&gt;0,Psychologia!I46," ")</f>
        <v>Metodologia badań psychologicznych I</v>
      </c>
      <c r="J46" s="123">
        <f>Psychologia!Y46+Psychologia!AV46</f>
        <v>100</v>
      </c>
      <c r="K46" s="124">
        <f>Psychologia!AS46+Psychologia!BP46</f>
        <v>40</v>
      </c>
      <c r="L46" s="125">
        <f>Psychologia!Z46+Psychologia!AW46</f>
        <v>60</v>
      </c>
      <c r="M46" s="126">
        <f>Psychologia!AB46+Psychologia!AD46+Psychologia!AY46+Psychologia!BA46</f>
        <v>30</v>
      </c>
      <c r="N46" s="220">
        <f>Psychologia!AA46+Psychologia!AX46</f>
        <v>60</v>
      </c>
      <c r="O46" s="232">
        <f>Psychologia!X46+Psychologia!AU46</f>
        <v>4</v>
      </c>
      <c r="P46" s="128" t="str">
        <f>IF(Psychologia!V46&gt;0,Psychologia!V46," ")</f>
        <v>egz</v>
      </c>
      <c r="Q46" s="150">
        <f t="shared" si="7"/>
        <v>0</v>
      </c>
      <c r="R46" s="135">
        <f t="shared" si="8"/>
        <v>0</v>
      </c>
      <c r="S46" s="161">
        <f t="shared" si="9"/>
        <v>0</v>
      </c>
      <c r="T46" s="132"/>
      <c r="U46" s="131"/>
      <c r="V46" s="131"/>
      <c r="W46" s="131"/>
      <c r="X46" s="131"/>
      <c r="Y46" s="131"/>
      <c r="Z46" s="131"/>
      <c r="AA46" s="131"/>
      <c r="AB46" s="131"/>
      <c r="AC46" s="131"/>
      <c r="AD46" s="131"/>
      <c r="AE46" s="131"/>
      <c r="AF46" s="132"/>
      <c r="AG46" s="131"/>
      <c r="AH46" s="131"/>
      <c r="AI46" s="131"/>
      <c r="AJ46" s="131"/>
      <c r="AK46" s="131"/>
      <c r="AL46" s="131"/>
      <c r="AM46" s="131"/>
      <c r="AN46" s="131"/>
      <c r="AO46" s="131"/>
      <c r="AP46" s="131"/>
      <c r="AQ46" s="131"/>
      <c r="AR46" s="131"/>
      <c r="AS46" s="131"/>
      <c r="AT46" s="131"/>
      <c r="AU46" s="131"/>
      <c r="AV46" s="131"/>
      <c r="AW46" s="131"/>
      <c r="AX46" s="131"/>
      <c r="AY46" s="131"/>
      <c r="AZ46" s="131"/>
      <c r="BA46" s="131"/>
      <c r="BB46" s="131"/>
      <c r="BC46" s="131"/>
      <c r="BD46" s="348"/>
      <c r="BE46" s="348"/>
      <c r="BF46" s="348"/>
      <c r="BG46" s="348"/>
      <c r="BH46" s="144"/>
      <c r="BI46" s="136"/>
      <c r="BJ46" s="136"/>
      <c r="BK46" s="349"/>
      <c r="BL46" s="349"/>
      <c r="BM46" s="349"/>
      <c r="BN46" s="349"/>
      <c r="BO46" s="349"/>
      <c r="BP46" s="145"/>
      <c r="CE46" s="118"/>
      <c r="CF46" s="118"/>
      <c r="CG46" s="118"/>
      <c r="CH46" s="46"/>
    </row>
    <row r="47" spans="1:86" s="44" customFormat="1" ht="30" customHeight="1" x14ac:dyDescent="0.25">
      <c r="A47" s="32">
        <f>Psychologia!A47</f>
        <v>27</v>
      </c>
      <c r="B47" s="127" t="str">
        <f>IF(Psychologia!B47&gt;0,Psychologia!B47," ")</f>
        <v xml:space="preserve"> </v>
      </c>
      <c r="C47" s="128" t="str">
        <f>IF(Psychologia!C47&gt;0,Psychologia!C47," ")</f>
        <v>2026/2027</v>
      </c>
      <c r="D47" s="128" t="str">
        <f>IF(Psychologia!D47&gt;0,Psychologia!D47," ")</f>
        <v xml:space="preserve"> </v>
      </c>
      <c r="E47" s="127">
        <f>IF(Psychologia!E47&gt;0,Psychologia!E47," ")</f>
        <v>2</v>
      </c>
      <c r="F47" s="32" t="str">
        <f>IF(Psychologia!F47&gt;0,Psychologia!F47," ")</f>
        <v>2027/2028</v>
      </c>
      <c r="G47" s="32" t="str">
        <f>IF(Psychologia!G47&gt;0,Psychologia!G47," ")</f>
        <v>RPS</v>
      </c>
      <c r="H47" s="122" t="str">
        <f>IF(Psychologia!H47&gt;0,Psychologia!H47," ")</f>
        <v xml:space="preserve"> </v>
      </c>
      <c r="I47" s="122" t="str">
        <f>IF(Psychologia!I47&gt;0,Psychologia!I47," ")</f>
        <v>Ochrona własności intelektualnej</v>
      </c>
      <c r="J47" s="123">
        <f>Psychologia!Y47+Psychologia!AV47</f>
        <v>25</v>
      </c>
      <c r="K47" s="124">
        <f>Psychologia!AS47+Psychologia!BP47</f>
        <v>10</v>
      </c>
      <c r="L47" s="125">
        <f>Psychologia!Z47+Psychologia!AW47</f>
        <v>15</v>
      </c>
      <c r="M47" s="126">
        <f>Psychologia!AB47+Psychologia!AD47+Psychologia!AY47+Psychologia!BA47</f>
        <v>5</v>
      </c>
      <c r="N47" s="220">
        <f>Psychologia!AA47+Psychologia!AX47</f>
        <v>15</v>
      </c>
      <c r="O47" s="232">
        <f>Psychologia!X47+Psychologia!AU47</f>
        <v>1</v>
      </c>
      <c r="P47" s="128" t="str">
        <f>IF(Psychologia!V47&gt;0,Psychologia!V47," ")</f>
        <v>zal/o</v>
      </c>
      <c r="Q47" s="150">
        <f t="shared" si="7"/>
        <v>0</v>
      </c>
      <c r="R47" s="135">
        <f t="shared" si="8"/>
        <v>0</v>
      </c>
      <c r="S47" s="161">
        <f t="shared" si="9"/>
        <v>0</v>
      </c>
      <c r="T47" s="132"/>
      <c r="U47" s="131"/>
      <c r="V47" s="131"/>
      <c r="W47" s="131"/>
      <c r="X47" s="131"/>
      <c r="Y47" s="131"/>
      <c r="Z47" s="131"/>
      <c r="AA47" s="131"/>
      <c r="AB47" s="131"/>
      <c r="AC47" s="131"/>
      <c r="AD47" s="131"/>
      <c r="AE47" s="131"/>
      <c r="AF47" s="132"/>
      <c r="AG47" s="131"/>
      <c r="AH47" s="131"/>
      <c r="AI47" s="131"/>
      <c r="AJ47" s="131"/>
      <c r="AK47" s="131"/>
      <c r="AL47" s="131"/>
      <c r="AM47" s="131"/>
      <c r="AN47" s="131"/>
      <c r="AO47" s="131"/>
      <c r="AP47" s="131"/>
      <c r="AQ47" s="131"/>
      <c r="AR47" s="131"/>
      <c r="AS47" s="131"/>
      <c r="AT47" s="131"/>
      <c r="AU47" s="131"/>
      <c r="AV47" s="131"/>
      <c r="AW47" s="131"/>
      <c r="AX47" s="131"/>
      <c r="AY47" s="131"/>
      <c r="AZ47" s="131"/>
      <c r="BA47" s="131"/>
      <c r="BB47" s="131"/>
      <c r="BC47" s="131"/>
      <c r="BD47" s="348"/>
      <c r="BE47" s="348"/>
      <c r="BF47" s="348"/>
      <c r="BG47" s="348"/>
      <c r="BH47" s="132"/>
      <c r="BI47" s="131"/>
      <c r="BJ47" s="131"/>
      <c r="BK47" s="348"/>
      <c r="BL47" s="348"/>
      <c r="BM47" s="348"/>
      <c r="BN47" s="348"/>
      <c r="BO47" s="348"/>
      <c r="BP47" s="133"/>
      <c r="CE47" s="118"/>
      <c r="CF47" s="118"/>
      <c r="CG47" s="118"/>
      <c r="CH47" s="46"/>
    </row>
    <row r="48" spans="1:86" s="44" customFormat="1" ht="30" customHeight="1" x14ac:dyDescent="0.25">
      <c r="A48" s="32">
        <f>Psychologia!A48</f>
        <v>28</v>
      </c>
      <c r="B48" s="127" t="str">
        <f>IF(Psychologia!B48&gt;0,Psychologia!B48," ")</f>
        <v xml:space="preserve"> </v>
      </c>
      <c r="C48" s="128" t="str">
        <f>IF(Psychologia!C48&gt;0,Psychologia!C48," ")</f>
        <v>2026/2027</v>
      </c>
      <c r="D48" s="128" t="str">
        <f>IF(Psychologia!D48&gt;0,Psychologia!D48," ")</f>
        <v xml:space="preserve"> </v>
      </c>
      <c r="E48" s="127">
        <f>IF(Psychologia!E48&gt;0,Psychologia!E48," ")</f>
        <v>2</v>
      </c>
      <c r="F48" s="32" t="str">
        <f>IF(Psychologia!F48&gt;0,Psychologia!F48," ")</f>
        <v>2027/2028</v>
      </c>
      <c r="G48" s="32" t="str">
        <f>IF(Psychologia!G48&gt;0,Psychologia!G48," ")</f>
        <v>RPS</v>
      </c>
      <c r="H48" s="122" t="str">
        <f>IF(Psychologia!H48&gt;0,Psychologia!H48," ")</f>
        <v xml:space="preserve"> </v>
      </c>
      <c r="I48" s="122" t="str">
        <f>IF(Psychologia!I48&gt;0,Psychologia!I48," ")</f>
        <v xml:space="preserve">Podstawy pomocy psychologicznej </v>
      </c>
      <c r="J48" s="123">
        <f>Psychologia!Y48+Psychologia!AV48</f>
        <v>100</v>
      </c>
      <c r="K48" s="124">
        <f>Psychologia!AS48+Psychologia!BP48</f>
        <v>35</v>
      </c>
      <c r="L48" s="125">
        <f>Psychologia!Z48+Psychologia!AW48</f>
        <v>65</v>
      </c>
      <c r="M48" s="354">
        <f>Psychologia!AB48+Psychologia!AD48+Psychologia!AY48+Psychologia!BA48</f>
        <v>5</v>
      </c>
      <c r="N48" s="220">
        <f>Psychologia!AA48+Psychologia!AX48</f>
        <v>65</v>
      </c>
      <c r="O48" s="232">
        <f>Psychologia!X48+Psychologia!AU48</f>
        <v>4</v>
      </c>
      <c r="P48" s="128" t="str">
        <f>IF(Psychologia!V48&gt;0,Psychologia!V48," ")</f>
        <v>zal/o</v>
      </c>
      <c r="Q48" s="150">
        <f t="shared" si="7"/>
        <v>0</v>
      </c>
      <c r="R48" s="135">
        <f t="shared" si="8"/>
        <v>0</v>
      </c>
      <c r="S48" s="161">
        <f t="shared" si="9"/>
        <v>0</v>
      </c>
      <c r="T48" s="130"/>
      <c r="U48" s="129"/>
      <c r="V48" s="129"/>
      <c r="W48" s="129"/>
      <c r="X48" s="129"/>
      <c r="Y48" s="129"/>
      <c r="Z48" s="129"/>
      <c r="AA48" s="129"/>
      <c r="AB48" s="129"/>
      <c r="AC48" s="129"/>
      <c r="AD48" s="129"/>
      <c r="AE48" s="129"/>
      <c r="AF48" s="130"/>
      <c r="AG48" s="129"/>
      <c r="AH48" s="129"/>
      <c r="AI48" s="129"/>
      <c r="AJ48" s="129"/>
      <c r="AK48" s="129"/>
      <c r="AL48" s="129"/>
      <c r="AM48" s="129"/>
      <c r="AN48" s="129"/>
      <c r="AO48" s="129"/>
      <c r="AP48" s="129"/>
      <c r="AQ48" s="129"/>
      <c r="AR48" s="129"/>
      <c r="AS48" s="129"/>
      <c r="AT48" s="129"/>
      <c r="AU48" s="129"/>
      <c r="AV48" s="129"/>
      <c r="AW48" s="129"/>
      <c r="AX48" s="129"/>
      <c r="AY48" s="129"/>
      <c r="AZ48" s="129"/>
      <c r="BA48" s="129"/>
      <c r="BB48" s="129"/>
      <c r="BC48" s="129"/>
      <c r="BD48" s="347"/>
      <c r="BE48" s="347"/>
      <c r="BF48" s="347"/>
      <c r="BG48" s="347"/>
      <c r="BH48" s="130"/>
      <c r="BI48" s="129"/>
      <c r="BJ48" s="129"/>
      <c r="BK48" s="347"/>
      <c r="BL48" s="347"/>
      <c r="BM48" s="347"/>
      <c r="BN48" s="347"/>
      <c r="BO48" s="347"/>
      <c r="BP48" s="134"/>
      <c r="CE48" s="118"/>
      <c r="CF48" s="118"/>
      <c r="CG48" s="118"/>
      <c r="CH48" s="46"/>
    </row>
    <row r="49" spans="1:86" s="44" customFormat="1" ht="30" customHeight="1" x14ac:dyDescent="0.25">
      <c r="A49" s="32">
        <f>Psychologia!A49</f>
        <v>29</v>
      </c>
      <c r="B49" s="127" t="str">
        <f>IF(Psychologia!B49&gt;0,Psychologia!B49," ")</f>
        <v xml:space="preserve"> </v>
      </c>
      <c r="C49" s="128" t="str">
        <f>IF(Psychologia!C49&gt;0,Psychologia!C49," ")</f>
        <v>2026/2027</v>
      </c>
      <c r="D49" s="128" t="str">
        <f>IF(Psychologia!D49&gt;0,Psychologia!D49," ")</f>
        <v xml:space="preserve"> </v>
      </c>
      <c r="E49" s="127">
        <f>IF(Psychologia!E49&gt;0,Psychologia!E49," ")</f>
        <v>2</v>
      </c>
      <c r="F49" s="32" t="str">
        <f>IF(Psychologia!F49&gt;0,Psychologia!F49," ")</f>
        <v>2027/2028</v>
      </c>
      <c r="G49" s="32" t="str">
        <f>IF(Psychologia!G49&gt;0,Psychologia!G49," ")</f>
        <v>RPS</v>
      </c>
      <c r="H49" s="122" t="str">
        <f>IF(Psychologia!H49&gt;0,Psychologia!H49," ")</f>
        <v xml:space="preserve"> </v>
      </c>
      <c r="I49" s="604" t="str">
        <f>IF(Psychologia!I49&gt;0,Psychologia!I49," ")</f>
        <v xml:space="preserve">Praktyki zawodowe w zakresie pomocy psychologicznej </v>
      </c>
      <c r="J49" s="123">
        <f>Psychologia!Y49+Psychologia!AV49</f>
        <v>160</v>
      </c>
      <c r="K49" s="124">
        <f>Psychologia!AS49+Psychologia!BP49</f>
        <v>0</v>
      </c>
      <c r="L49" s="125">
        <f>Psychologia!Z49+Psychologia!AW49</f>
        <v>160</v>
      </c>
      <c r="M49" s="126">
        <f>Psychologia!AB49+Psychologia!AD49+Psychologia!AY49+Psychologia!BA49</f>
        <v>0</v>
      </c>
      <c r="N49" s="220">
        <f>Psychologia!AA49+Psychologia!AX49</f>
        <v>160</v>
      </c>
      <c r="O49" s="232">
        <f>Psychologia!X49+Psychologia!AU49</f>
        <v>6</v>
      </c>
      <c r="P49" s="128" t="str">
        <f>IF(Psychologia!V49&gt;0,Psychologia!V49," ")</f>
        <v>zal/o</v>
      </c>
      <c r="Q49" s="150">
        <f t="shared" si="7"/>
        <v>0</v>
      </c>
      <c r="R49" s="135">
        <f t="shared" si="8"/>
        <v>0</v>
      </c>
      <c r="S49" s="161">
        <f t="shared" si="9"/>
        <v>0</v>
      </c>
      <c r="T49" s="132"/>
      <c r="U49" s="131"/>
      <c r="V49" s="131"/>
      <c r="W49" s="131"/>
      <c r="X49" s="131"/>
      <c r="Y49" s="131"/>
      <c r="Z49" s="131"/>
      <c r="AA49" s="131"/>
      <c r="AB49" s="131"/>
      <c r="AC49" s="131"/>
      <c r="AD49" s="131"/>
      <c r="AE49" s="131"/>
      <c r="AF49" s="132"/>
      <c r="AG49" s="131"/>
      <c r="AH49" s="131"/>
      <c r="AI49" s="131"/>
      <c r="AJ49" s="131"/>
      <c r="AK49" s="131"/>
      <c r="AL49" s="131"/>
      <c r="AM49" s="131"/>
      <c r="AN49" s="131"/>
      <c r="AO49" s="131"/>
      <c r="AP49" s="131"/>
      <c r="AQ49" s="131"/>
      <c r="AR49" s="131"/>
      <c r="AS49" s="131"/>
      <c r="AT49" s="131"/>
      <c r="AU49" s="131"/>
      <c r="AV49" s="131"/>
      <c r="AW49" s="131"/>
      <c r="AX49" s="131"/>
      <c r="AY49" s="131"/>
      <c r="AZ49" s="131"/>
      <c r="BA49" s="131"/>
      <c r="BB49" s="131"/>
      <c r="BC49" s="131"/>
      <c r="BD49" s="348"/>
      <c r="BE49" s="348"/>
      <c r="BF49" s="348"/>
      <c r="BG49" s="348"/>
      <c r="BH49" s="132"/>
      <c r="BI49" s="131"/>
      <c r="BJ49" s="131"/>
      <c r="BK49" s="348"/>
      <c r="BL49" s="348"/>
      <c r="BM49" s="348"/>
      <c r="BN49" s="348"/>
      <c r="BO49" s="348"/>
      <c r="BP49" s="133"/>
      <c r="CE49" s="118"/>
      <c r="CF49" s="118"/>
      <c r="CG49" s="118"/>
      <c r="CH49" s="46"/>
    </row>
    <row r="50" spans="1:86" s="44" customFormat="1" ht="30" customHeight="1" x14ac:dyDescent="0.25">
      <c r="A50" s="32">
        <f>Psychologia!A50</f>
        <v>30</v>
      </c>
      <c r="B50" s="127" t="str">
        <f>IF(Psychologia!B50&gt;0,Psychologia!B50," ")</f>
        <v xml:space="preserve"> </v>
      </c>
      <c r="C50" s="128" t="str">
        <f>IF(Psychologia!C50&gt;0,Psychologia!C50," ")</f>
        <v>2026/2027</v>
      </c>
      <c r="D50" s="128" t="str">
        <f>IF(Psychologia!D50&gt;0,Psychologia!D50," ")</f>
        <v xml:space="preserve"> </v>
      </c>
      <c r="E50" s="127">
        <f>IF(Psychologia!E50&gt;0,Psychologia!E50," ")</f>
        <v>2</v>
      </c>
      <c r="F50" s="32" t="str">
        <f>IF(Psychologia!F50&gt;0,Psychologia!F50," ")</f>
        <v>2027/2028</v>
      </c>
      <c r="G50" s="32" t="str">
        <f>IF(Psychologia!G50&gt;0,Psychologia!G50," ")</f>
        <v>RPS</v>
      </c>
      <c r="H50" s="122" t="str">
        <f>IF(Psychologia!H50&gt;0,Psychologia!H50," ")</f>
        <v xml:space="preserve"> </v>
      </c>
      <c r="I50" s="604" t="str">
        <f>IF(Psychologia!I50&gt;0,Psychologia!I50," ")</f>
        <v>Praktyki zawodowe w zakresie promocji i edukacji zdrowia</v>
      </c>
      <c r="J50" s="123">
        <f>Psychologia!Y50+Psychologia!AV50</f>
        <v>160</v>
      </c>
      <c r="K50" s="124">
        <f>Psychologia!AS50+Psychologia!BP50</f>
        <v>0</v>
      </c>
      <c r="L50" s="125">
        <f>Psychologia!Z50+Psychologia!AW50</f>
        <v>160</v>
      </c>
      <c r="M50" s="126">
        <f>Psychologia!AB50+Psychologia!AD50+Psychologia!AY50+Psychologia!BA50</f>
        <v>0</v>
      </c>
      <c r="N50" s="220">
        <f>Psychologia!AA50+Psychologia!AX50</f>
        <v>160</v>
      </c>
      <c r="O50" s="232">
        <f>Psychologia!X50+Psychologia!AU50</f>
        <v>6</v>
      </c>
      <c r="P50" s="128" t="str">
        <f>IF(Psychologia!V50&gt;0,Psychologia!V50," ")</f>
        <v>zal/o</v>
      </c>
      <c r="Q50" s="150">
        <f t="shared" si="7"/>
        <v>0</v>
      </c>
      <c r="R50" s="135">
        <f t="shared" si="8"/>
        <v>0</v>
      </c>
      <c r="S50" s="161">
        <f t="shared" si="9"/>
        <v>0</v>
      </c>
      <c r="T50" s="132"/>
      <c r="U50" s="131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2"/>
      <c r="AG50" s="131"/>
      <c r="AH50" s="131"/>
      <c r="AI50" s="131"/>
      <c r="AJ50" s="131"/>
      <c r="AK50" s="131"/>
      <c r="AL50" s="131"/>
      <c r="AM50" s="131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  <c r="AX50" s="131"/>
      <c r="AY50" s="131"/>
      <c r="AZ50" s="131"/>
      <c r="BA50" s="131"/>
      <c r="BB50" s="131"/>
      <c r="BC50" s="131"/>
      <c r="BD50" s="348"/>
      <c r="BE50" s="348"/>
      <c r="BF50" s="348"/>
      <c r="BG50" s="348"/>
      <c r="BH50" s="132"/>
      <c r="BI50" s="131"/>
      <c r="BJ50" s="131"/>
      <c r="BK50" s="348"/>
      <c r="BL50" s="348"/>
      <c r="BM50" s="348"/>
      <c r="BN50" s="348"/>
      <c r="BO50" s="348"/>
      <c r="BP50" s="133"/>
      <c r="CE50" s="118"/>
      <c r="CF50" s="118"/>
      <c r="CG50" s="118"/>
      <c r="CH50" s="46"/>
    </row>
    <row r="51" spans="1:86" s="44" customFormat="1" ht="47.25" x14ac:dyDescent="0.25">
      <c r="A51" s="32">
        <f>Psychologia!A52</f>
        <v>32</v>
      </c>
      <c r="B51" s="127" t="str">
        <f>IF(Psychologia!B52&gt;0,Psychologia!B52," ")</f>
        <v xml:space="preserve"> </v>
      </c>
      <c r="C51" s="128" t="str">
        <f>IF(Psychologia!C52&gt;0,Psychologia!C52," ")</f>
        <v>2026/2027</v>
      </c>
      <c r="D51" s="128" t="str">
        <f>IF(Psychologia!D52&gt;0,Psychologia!D52," ")</f>
        <v xml:space="preserve"> </v>
      </c>
      <c r="E51" s="127">
        <f>IF(Psychologia!E52&gt;0,Psychologia!E52," ")</f>
        <v>2</v>
      </c>
      <c r="F51" s="32" t="str">
        <f>IF(Psychologia!F52&gt;0,Psychologia!F52," ")</f>
        <v>2027/2028</v>
      </c>
      <c r="G51" s="32" t="str">
        <f>IF(Psychologia!G52&gt;0,Psychologia!G52," ")</f>
        <v>POW</v>
      </c>
      <c r="H51" s="122" t="str">
        <f>IF(Psychologia!H52&gt;0,Psychologia!H52," ")</f>
        <v xml:space="preserve"> </v>
      </c>
      <c r="I51" s="599" t="str">
        <f>IF(Psychologia!I52&gt;0,Psychologia!I52," ")</f>
        <v>Przedmiot fakultatywny 4: Podstawy organizacji i zarządzania / Psychologia języka</v>
      </c>
      <c r="J51" s="123">
        <f>Psychologia!Y52+Psychologia!AV52</f>
        <v>50</v>
      </c>
      <c r="K51" s="124">
        <f>Psychologia!AS52+Psychologia!BP52</f>
        <v>10</v>
      </c>
      <c r="L51" s="125">
        <f>Psychologia!Z52+Psychologia!AW52</f>
        <v>40</v>
      </c>
      <c r="M51" s="126">
        <f>Psychologia!AB52+Psychologia!AD52+Psychologia!AY52+Psychologia!BA52</f>
        <v>15</v>
      </c>
      <c r="N51" s="220">
        <f>Psychologia!AA52+Psychologia!AX52</f>
        <v>40</v>
      </c>
      <c r="O51" s="232">
        <f>Psychologia!X52+Psychologia!AU52</f>
        <v>2</v>
      </c>
      <c r="P51" s="128" t="str">
        <f>IF(Psychologia!V52&gt;0,Psychologia!V52," ")</f>
        <v>zal/o</v>
      </c>
      <c r="Q51" s="150">
        <f t="shared" si="7"/>
        <v>0</v>
      </c>
      <c r="R51" s="135">
        <f t="shared" si="8"/>
        <v>0</v>
      </c>
      <c r="S51" s="161">
        <f t="shared" si="9"/>
        <v>0</v>
      </c>
      <c r="T51" s="132"/>
      <c r="U51" s="131"/>
      <c r="V51" s="131"/>
      <c r="W51" s="131"/>
      <c r="X51" s="131"/>
      <c r="Y51" s="131"/>
      <c r="Z51" s="131"/>
      <c r="AA51" s="131"/>
      <c r="AB51" s="131"/>
      <c r="AC51" s="131"/>
      <c r="AD51" s="131"/>
      <c r="AE51" s="131"/>
      <c r="AF51" s="132"/>
      <c r="AG51" s="131"/>
      <c r="AH51" s="131"/>
      <c r="AI51" s="131"/>
      <c r="AJ51" s="131"/>
      <c r="AK51" s="131"/>
      <c r="AL51" s="131"/>
      <c r="AM51" s="131"/>
      <c r="AN51" s="131"/>
      <c r="AO51" s="131"/>
      <c r="AP51" s="131"/>
      <c r="AQ51" s="131"/>
      <c r="AR51" s="131"/>
      <c r="AS51" s="131"/>
      <c r="AT51" s="131"/>
      <c r="AU51" s="131"/>
      <c r="AV51" s="131"/>
      <c r="AW51" s="131"/>
      <c r="AX51" s="131"/>
      <c r="AY51" s="131"/>
      <c r="AZ51" s="131"/>
      <c r="BA51" s="131"/>
      <c r="BB51" s="131"/>
      <c r="BC51" s="131"/>
      <c r="BD51" s="348"/>
      <c r="BE51" s="348"/>
      <c r="BF51" s="348"/>
      <c r="BG51" s="348"/>
      <c r="BH51" s="132"/>
      <c r="BI51" s="131"/>
      <c r="BJ51" s="131"/>
      <c r="BK51" s="348"/>
      <c r="BL51" s="348"/>
      <c r="BM51" s="348"/>
      <c r="BN51" s="348"/>
      <c r="BO51" s="348"/>
      <c r="BP51" s="133"/>
      <c r="CE51" s="118"/>
      <c r="CF51" s="118"/>
      <c r="CG51" s="118"/>
      <c r="CH51" s="46"/>
    </row>
    <row r="52" spans="1:86" s="44" customFormat="1" ht="15.75" x14ac:dyDescent="0.25">
      <c r="A52" s="32" t="e">
        <f>Psychologia!#REF!</f>
        <v>#REF!</v>
      </c>
      <c r="B52" s="127" t="e">
        <f>IF(Psychologia!#REF!&gt;0,Psychologia!#REF!," ")</f>
        <v>#REF!</v>
      </c>
      <c r="C52" s="128" t="e">
        <f>IF(Psychologia!#REF!&gt;0,Psychologia!#REF!," ")</f>
        <v>#REF!</v>
      </c>
      <c r="D52" s="128" t="e">
        <f>IF(Psychologia!#REF!&gt;0,Psychologia!#REF!," ")</f>
        <v>#REF!</v>
      </c>
      <c r="E52" s="127" t="e">
        <f>IF(Psychologia!#REF!&gt;0,Psychologia!#REF!," ")</f>
        <v>#REF!</v>
      </c>
      <c r="F52" s="32" t="e">
        <f>IF(Psychologia!#REF!&gt;0,Psychologia!#REF!," ")</f>
        <v>#REF!</v>
      </c>
      <c r="G52" s="32" t="e">
        <f>IF(Psychologia!#REF!&gt;0,Psychologia!#REF!," ")</f>
        <v>#REF!</v>
      </c>
      <c r="H52" s="122" t="e">
        <f>IF(Psychologia!#REF!&gt;0,Psychologia!#REF!," ")</f>
        <v>#REF!</v>
      </c>
      <c r="I52" s="599" t="e">
        <f>IF(Psychologia!#REF!&gt;0,Psychologia!#REF!," ")</f>
        <v>#REF!</v>
      </c>
      <c r="J52" s="123" t="e">
        <f>Psychologia!#REF!+Psychologia!#REF!</f>
        <v>#REF!</v>
      </c>
      <c r="K52" s="124" t="e">
        <f>Psychologia!#REF!+Psychologia!#REF!</f>
        <v>#REF!</v>
      </c>
      <c r="L52" s="125" t="e">
        <f>Psychologia!#REF!+Psychologia!#REF!</f>
        <v>#REF!</v>
      </c>
      <c r="M52" s="126" t="e">
        <f>Psychologia!#REF!+Psychologia!#REF!+Psychologia!#REF!+Psychologia!#REF!</f>
        <v>#REF!</v>
      </c>
      <c r="N52" s="220" t="e">
        <f>Psychologia!#REF!+Psychologia!#REF!</f>
        <v>#REF!</v>
      </c>
      <c r="O52" s="232" t="e">
        <f>Psychologia!#REF!+Psychologia!#REF!</f>
        <v>#REF!</v>
      </c>
      <c r="P52" s="128" t="e">
        <f>IF(Psychologia!#REF!&gt;0,Psychologia!#REF!," ")</f>
        <v>#REF!</v>
      </c>
      <c r="Q52" s="150">
        <f t="shared" si="7"/>
        <v>0</v>
      </c>
      <c r="R52" s="135">
        <f t="shared" si="8"/>
        <v>0</v>
      </c>
      <c r="S52" s="161">
        <f t="shared" si="9"/>
        <v>0</v>
      </c>
      <c r="T52" s="132"/>
      <c r="U52" s="131"/>
      <c r="V52" s="131"/>
      <c r="W52" s="131"/>
      <c r="X52" s="131"/>
      <c r="Y52" s="131"/>
      <c r="Z52" s="131"/>
      <c r="AA52" s="131"/>
      <c r="AB52" s="131"/>
      <c r="AC52" s="131"/>
      <c r="AD52" s="131"/>
      <c r="AE52" s="131"/>
      <c r="AF52" s="132"/>
      <c r="AG52" s="131"/>
      <c r="AH52" s="131"/>
      <c r="AI52" s="131"/>
      <c r="AJ52" s="131"/>
      <c r="AK52" s="131"/>
      <c r="AL52" s="131"/>
      <c r="AM52" s="131"/>
      <c r="AN52" s="131"/>
      <c r="AO52" s="131"/>
      <c r="AP52" s="131"/>
      <c r="AQ52" s="131"/>
      <c r="AR52" s="131"/>
      <c r="AS52" s="131"/>
      <c r="AT52" s="131"/>
      <c r="AU52" s="131"/>
      <c r="AV52" s="131"/>
      <c r="AW52" s="131"/>
      <c r="AX52" s="131"/>
      <c r="AY52" s="131"/>
      <c r="AZ52" s="131"/>
      <c r="BA52" s="131"/>
      <c r="BB52" s="131"/>
      <c r="BC52" s="131"/>
      <c r="BD52" s="348"/>
      <c r="BE52" s="348"/>
      <c r="BF52" s="348"/>
      <c r="BG52" s="348"/>
      <c r="BH52" s="132"/>
      <c r="BI52" s="131"/>
      <c r="BJ52" s="131"/>
      <c r="BK52" s="348"/>
      <c r="BL52" s="348"/>
      <c r="BM52" s="348"/>
      <c r="BN52" s="348"/>
      <c r="BO52" s="348"/>
      <c r="BP52" s="133"/>
      <c r="CE52" s="118"/>
      <c r="CF52" s="118"/>
      <c r="CG52" s="118"/>
      <c r="CH52" s="46"/>
    </row>
    <row r="53" spans="1:86" s="44" customFormat="1" ht="30" customHeight="1" x14ac:dyDescent="0.25">
      <c r="A53" s="32">
        <f>Psychologia!A53</f>
        <v>33</v>
      </c>
      <c r="B53" s="127" t="str">
        <f>IF(Psychologia!B53&gt;0,Psychologia!B53," ")</f>
        <v xml:space="preserve"> </v>
      </c>
      <c r="C53" s="128" t="str">
        <f>IF(Psychologia!C53&gt;0,Psychologia!C53," ")</f>
        <v>2026/2027</v>
      </c>
      <c r="D53" s="128" t="str">
        <f>IF(Psychologia!D53&gt;0,Psychologia!D53," ")</f>
        <v xml:space="preserve"> </v>
      </c>
      <c r="E53" s="127">
        <f>IF(Psychologia!E53&gt;0,Psychologia!E53," ")</f>
        <v>2</v>
      </c>
      <c r="F53" s="32" t="str">
        <f>IF(Psychologia!F53&gt;0,Psychologia!F53," ")</f>
        <v>2027/2028</v>
      </c>
      <c r="G53" s="32" t="str">
        <f>IF(Psychologia!G53&gt;0,Psychologia!G53," ")</f>
        <v>RPS</v>
      </c>
      <c r="H53" s="122" t="str">
        <f>IF(Psychologia!H53&gt;0,Psychologia!H53," ")</f>
        <v xml:space="preserve"> </v>
      </c>
      <c r="I53" s="122" t="str">
        <f>IF(Psychologia!I53&gt;0,Psychologia!I53," ")</f>
        <v>Psychologia emocji i motywacji I</v>
      </c>
      <c r="J53" s="123">
        <f>Psychologia!Y53+Psychologia!AV53</f>
        <v>75</v>
      </c>
      <c r="K53" s="124">
        <f>Psychologia!AS53+Psychologia!BP53</f>
        <v>15</v>
      </c>
      <c r="L53" s="125">
        <f>Psychologia!Z53+Psychologia!AW53</f>
        <v>60</v>
      </c>
      <c r="M53" s="126">
        <f>Psychologia!AB53+Psychologia!AD53+Psychologia!AY53+Psychologia!BA53</f>
        <v>30</v>
      </c>
      <c r="N53" s="220">
        <f>Psychologia!AA53+Psychologia!AX53</f>
        <v>60</v>
      </c>
      <c r="O53" s="232">
        <f>Psychologia!X53+Psychologia!AU53</f>
        <v>3</v>
      </c>
      <c r="P53" s="128" t="str">
        <f>IF(Psychologia!V53&gt;0,Psychologia!V53," ")</f>
        <v>zal/o</v>
      </c>
      <c r="Q53" s="150">
        <f t="shared" si="7"/>
        <v>0</v>
      </c>
      <c r="R53" s="135">
        <f t="shared" si="8"/>
        <v>0</v>
      </c>
      <c r="S53" s="161">
        <f t="shared" si="9"/>
        <v>0</v>
      </c>
      <c r="T53" s="132"/>
      <c r="U53" s="131"/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  <c r="AF53" s="132"/>
      <c r="AG53" s="131"/>
      <c r="AH53" s="131"/>
      <c r="AI53" s="131"/>
      <c r="AJ53" s="131"/>
      <c r="AK53" s="131"/>
      <c r="AL53" s="131"/>
      <c r="AM53" s="131"/>
      <c r="AN53" s="131"/>
      <c r="AO53" s="131"/>
      <c r="AP53" s="131"/>
      <c r="AQ53" s="131"/>
      <c r="AR53" s="131"/>
      <c r="AS53" s="131"/>
      <c r="AT53" s="131"/>
      <c r="AU53" s="131"/>
      <c r="AV53" s="131"/>
      <c r="AW53" s="131"/>
      <c r="AX53" s="131"/>
      <c r="AY53" s="131"/>
      <c r="AZ53" s="131"/>
      <c r="BA53" s="131"/>
      <c r="BB53" s="131"/>
      <c r="BC53" s="131"/>
      <c r="BD53" s="348"/>
      <c r="BE53" s="348"/>
      <c r="BF53" s="348"/>
      <c r="BG53" s="348"/>
      <c r="BH53" s="132"/>
      <c r="BI53" s="131"/>
      <c r="BJ53" s="131"/>
      <c r="BK53" s="348"/>
      <c r="BL53" s="348"/>
      <c r="BM53" s="348"/>
      <c r="BN53" s="348"/>
      <c r="BO53" s="348"/>
      <c r="BP53" s="133"/>
      <c r="CE53" s="118"/>
      <c r="CF53" s="118"/>
      <c r="CG53" s="118"/>
      <c r="CH53" s="46"/>
    </row>
    <row r="54" spans="1:86" s="44" customFormat="1" ht="30" customHeight="1" x14ac:dyDescent="0.25">
      <c r="A54" s="32">
        <f>Psychologia!A54</f>
        <v>34</v>
      </c>
      <c r="B54" s="127" t="str">
        <f>IF(Psychologia!B54&gt;0,Psychologia!B54," ")</f>
        <v xml:space="preserve"> </v>
      </c>
      <c r="C54" s="128" t="str">
        <f>IF(Psychologia!C54&gt;0,Psychologia!C54," ")</f>
        <v>2026/2027</v>
      </c>
      <c r="D54" s="128" t="str">
        <f>IF(Psychologia!D54&gt;0,Psychologia!D54," ")</f>
        <v xml:space="preserve"> </v>
      </c>
      <c r="E54" s="127">
        <f>IF(Psychologia!E54&gt;0,Psychologia!E54," ")</f>
        <v>2</v>
      </c>
      <c r="F54" s="32" t="str">
        <f>IF(Psychologia!F54&gt;0,Psychologia!F54," ")</f>
        <v>2027/2028</v>
      </c>
      <c r="G54" s="32" t="str">
        <f>IF(Psychologia!G54&gt;0,Psychologia!G54," ")</f>
        <v>RPS</v>
      </c>
      <c r="H54" s="122" t="str">
        <f>IF(Psychologia!H54&gt;0,Psychologia!H54," ")</f>
        <v xml:space="preserve"> </v>
      </c>
      <c r="I54" s="122" t="str">
        <f>IF(Psychologia!I54&gt;0,Psychologia!I54," ")</f>
        <v>Psychologia emocji i motywacji II</v>
      </c>
      <c r="J54" s="123">
        <f>Psychologia!Y54+Psychologia!AV54</f>
        <v>75</v>
      </c>
      <c r="K54" s="124">
        <f>Psychologia!AS54+Psychologia!BP54</f>
        <v>15</v>
      </c>
      <c r="L54" s="125">
        <f>Psychologia!Z54+Psychologia!AW54</f>
        <v>60</v>
      </c>
      <c r="M54" s="126">
        <f>Psychologia!AB54+Psychologia!AD54+Psychologia!AY54+Psychologia!BA54</f>
        <v>30</v>
      </c>
      <c r="N54" s="220">
        <f>Psychologia!AA54+Psychologia!AX54</f>
        <v>60</v>
      </c>
      <c r="O54" s="232">
        <f>Psychologia!X54+Psychologia!AU54</f>
        <v>3</v>
      </c>
      <c r="P54" s="128" t="str">
        <f>IF(Psychologia!V54&gt;0,Psychologia!V54," ")</f>
        <v>egz</v>
      </c>
      <c r="Q54" s="150">
        <f t="shared" si="7"/>
        <v>0</v>
      </c>
      <c r="R54" s="135">
        <f t="shared" ref="R54:R60" si="10">SUM(AF54:BG54)</f>
        <v>0</v>
      </c>
      <c r="S54" s="161">
        <f t="shared" si="9"/>
        <v>0</v>
      </c>
      <c r="T54" s="132"/>
      <c r="U54" s="131"/>
      <c r="V54" s="131"/>
      <c r="W54" s="131"/>
      <c r="X54" s="131"/>
      <c r="Y54" s="131"/>
      <c r="Z54" s="131"/>
      <c r="AA54" s="131"/>
      <c r="AB54" s="131"/>
      <c r="AC54" s="131"/>
      <c r="AD54" s="131"/>
      <c r="AE54" s="131"/>
      <c r="AF54" s="132"/>
      <c r="AG54" s="131"/>
      <c r="AH54" s="131"/>
      <c r="AI54" s="131"/>
      <c r="AJ54" s="131"/>
      <c r="AK54" s="131"/>
      <c r="AL54" s="131"/>
      <c r="AM54" s="131"/>
      <c r="AN54" s="131"/>
      <c r="AO54" s="131"/>
      <c r="AP54" s="131"/>
      <c r="AQ54" s="131"/>
      <c r="AR54" s="131"/>
      <c r="AS54" s="131"/>
      <c r="AT54" s="131"/>
      <c r="AU54" s="131"/>
      <c r="AV54" s="131"/>
      <c r="AW54" s="131"/>
      <c r="AX54" s="131"/>
      <c r="AY54" s="131"/>
      <c r="AZ54" s="131"/>
      <c r="BA54" s="131"/>
      <c r="BB54" s="131"/>
      <c r="BC54" s="131"/>
      <c r="BD54" s="348"/>
      <c r="BE54" s="348"/>
      <c r="BF54" s="348"/>
      <c r="BG54" s="348"/>
      <c r="BH54" s="132"/>
      <c r="BI54" s="131"/>
      <c r="BJ54" s="131"/>
      <c r="BK54" s="348"/>
      <c r="BL54" s="348"/>
      <c r="BM54" s="348"/>
      <c r="BN54" s="348"/>
      <c r="BO54" s="348"/>
      <c r="BP54" s="133"/>
      <c r="CE54" s="118"/>
      <c r="CF54" s="118"/>
      <c r="CG54" s="118"/>
      <c r="CH54" s="46"/>
    </row>
    <row r="55" spans="1:86" s="44" customFormat="1" ht="30" customHeight="1" x14ac:dyDescent="0.25">
      <c r="A55" s="32">
        <f>Psychologia!A55</f>
        <v>35</v>
      </c>
      <c r="B55" s="127" t="str">
        <f>IF(Psychologia!B55&gt;0,Psychologia!B55," ")</f>
        <v xml:space="preserve"> </v>
      </c>
      <c r="C55" s="128" t="str">
        <f>IF(Psychologia!C55&gt;0,Psychologia!C55," ")</f>
        <v>2026/2027</v>
      </c>
      <c r="D55" s="128" t="str">
        <f>IF(Psychologia!D55&gt;0,Psychologia!D55," ")</f>
        <v xml:space="preserve"> </v>
      </c>
      <c r="E55" s="127">
        <f>IF(Psychologia!E55&gt;0,Psychologia!E55," ")</f>
        <v>2</v>
      </c>
      <c r="F55" s="32" t="str">
        <f>IF(Psychologia!F55&gt;0,Psychologia!F55," ")</f>
        <v>2027/2028</v>
      </c>
      <c r="G55" s="32" t="str">
        <f>IF(Psychologia!G55&gt;0,Psychologia!G55," ")</f>
        <v>RPS</v>
      </c>
      <c r="H55" s="122" t="str">
        <f>IF(Psychologia!H55&gt;0,Psychologia!H55," ")</f>
        <v xml:space="preserve"> </v>
      </c>
      <c r="I55" s="122" t="str">
        <f>IF(Psychologia!I55&gt;0,Psychologia!I55," ")</f>
        <v>Psychologia osobowości</v>
      </c>
      <c r="J55" s="123">
        <f>Psychologia!Y55+Psychologia!AV55</f>
        <v>125</v>
      </c>
      <c r="K55" s="124">
        <f>Psychologia!AS55+Psychologia!BP55</f>
        <v>55</v>
      </c>
      <c r="L55" s="125">
        <f>Psychologia!Z55+Psychologia!AW55</f>
        <v>70</v>
      </c>
      <c r="M55" s="126">
        <f>Psychologia!AB55+Psychologia!AD55+Psychologia!AY55+Psychologia!BA55</f>
        <v>30</v>
      </c>
      <c r="N55" s="220">
        <f>Psychologia!AA55+Psychologia!AX55</f>
        <v>70</v>
      </c>
      <c r="O55" s="232">
        <f>Psychologia!X55+Psychologia!AU55</f>
        <v>5</v>
      </c>
      <c r="P55" s="128" t="str">
        <f>IF(Psychologia!V55&gt;0,Psychologia!V55," ")</f>
        <v>egz</v>
      </c>
      <c r="Q55" s="150">
        <f t="shared" si="7"/>
        <v>0</v>
      </c>
      <c r="R55" s="135">
        <f t="shared" si="10"/>
        <v>0</v>
      </c>
      <c r="S55" s="161">
        <f t="shared" si="9"/>
        <v>0</v>
      </c>
      <c r="T55" s="132"/>
      <c r="U55" s="131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2"/>
      <c r="AG55" s="131"/>
      <c r="AH55" s="131"/>
      <c r="AI55" s="131"/>
      <c r="AJ55" s="131"/>
      <c r="AK55" s="131"/>
      <c r="AL55" s="131"/>
      <c r="AM55" s="131"/>
      <c r="AN55" s="131"/>
      <c r="AO55" s="131"/>
      <c r="AP55" s="131"/>
      <c r="AQ55" s="131"/>
      <c r="AR55" s="131"/>
      <c r="AS55" s="131"/>
      <c r="AT55" s="131"/>
      <c r="AU55" s="131"/>
      <c r="AV55" s="131"/>
      <c r="AW55" s="131"/>
      <c r="AX55" s="131"/>
      <c r="AY55" s="131"/>
      <c r="AZ55" s="131"/>
      <c r="BA55" s="131"/>
      <c r="BB55" s="131"/>
      <c r="BC55" s="131"/>
      <c r="BD55" s="348"/>
      <c r="BE55" s="348"/>
      <c r="BF55" s="348"/>
      <c r="BG55" s="348"/>
      <c r="BH55" s="132"/>
      <c r="BI55" s="131"/>
      <c r="BJ55" s="131"/>
      <c r="BK55" s="348"/>
      <c r="BL55" s="348"/>
      <c r="BM55" s="348"/>
      <c r="BN55" s="348"/>
      <c r="BO55" s="348"/>
      <c r="BP55" s="133"/>
      <c r="CE55" s="118"/>
      <c r="CF55" s="118"/>
      <c r="CG55" s="118"/>
      <c r="CH55" s="46"/>
    </row>
    <row r="56" spans="1:86" s="44" customFormat="1" ht="30" customHeight="1" x14ac:dyDescent="0.25">
      <c r="A56" s="32">
        <f>Psychologia!A56</f>
        <v>36</v>
      </c>
      <c r="B56" s="127" t="str">
        <f>IF(Psychologia!B56&gt;0,Psychologia!B56," ")</f>
        <v xml:space="preserve"> </v>
      </c>
      <c r="C56" s="128" t="str">
        <f>IF(Psychologia!C56&gt;0,Psychologia!C56," ")</f>
        <v>2026/2027</v>
      </c>
      <c r="D56" s="128" t="str">
        <f>IF(Psychologia!D56&gt;0,Psychologia!D56," ")</f>
        <v xml:space="preserve"> </v>
      </c>
      <c r="E56" s="127">
        <f>IF(Psychologia!E56&gt;0,Psychologia!E56," ")</f>
        <v>2</v>
      </c>
      <c r="F56" s="32" t="str">
        <f>IF(Psychologia!F56&gt;0,Psychologia!F56," ")</f>
        <v>2027/2028</v>
      </c>
      <c r="G56" s="32" t="str">
        <f>IF(Psychologia!G56&gt;0,Psychologia!G56," ")</f>
        <v>RPS</v>
      </c>
      <c r="H56" s="122" t="str">
        <f>IF(Psychologia!H56&gt;0,Psychologia!H56," ")</f>
        <v xml:space="preserve"> </v>
      </c>
      <c r="I56" s="122" t="str">
        <f>IF(Psychologia!I56&gt;0,Psychologia!I56," ")</f>
        <v xml:space="preserve">Psychologia procesów poznawczych </v>
      </c>
      <c r="J56" s="123">
        <f>Psychologia!Y56+Psychologia!AV56</f>
        <v>100</v>
      </c>
      <c r="K56" s="124">
        <f>Psychologia!AS56+Psychologia!BP56</f>
        <v>40</v>
      </c>
      <c r="L56" s="125">
        <f>Psychologia!Z56+Psychologia!AW56</f>
        <v>60</v>
      </c>
      <c r="M56" s="126">
        <f>Psychologia!AB56+Psychologia!AD56+Psychologia!AY56+Psychologia!BA56</f>
        <v>30</v>
      </c>
      <c r="N56" s="220">
        <f>Psychologia!AA56+Psychologia!AX56</f>
        <v>60</v>
      </c>
      <c r="O56" s="232">
        <f>Psychologia!X56+Psychologia!AU56</f>
        <v>4</v>
      </c>
      <c r="P56" s="128" t="str">
        <f>IF(Psychologia!V56&gt;0,Psychologia!V56," ")</f>
        <v>egz</v>
      </c>
      <c r="Q56" s="150">
        <f t="shared" si="7"/>
        <v>0</v>
      </c>
      <c r="R56" s="135">
        <f t="shared" si="10"/>
        <v>0</v>
      </c>
      <c r="S56" s="161">
        <f t="shared" si="9"/>
        <v>0</v>
      </c>
      <c r="T56" s="132"/>
      <c r="U56" s="131"/>
      <c r="V56" s="131"/>
      <c r="W56" s="131"/>
      <c r="X56" s="131"/>
      <c r="Y56" s="131"/>
      <c r="Z56" s="131"/>
      <c r="AA56" s="131"/>
      <c r="AB56" s="131"/>
      <c r="AC56" s="131"/>
      <c r="AD56" s="131"/>
      <c r="AE56" s="131"/>
      <c r="AF56" s="132"/>
      <c r="AG56" s="131"/>
      <c r="AH56" s="131"/>
      <c r="AI56" s="131"/>
      <c r="AJ56" s="131"/>
      <c r="AK56" s="131"/>
      <c r="AL56" s="131"/>
      <c r="AM56" s="131"/>
      <c r="AN56" s="131"/>
      <c r="AO56" s="131"/>
      <c r="AP56" s="131"/>
      <c r="AQ56" s="131"/>
      <c r="AR56" s="131"/>
      <c r="AS56" s="131"/>
      <c r="AT56" s="131"/>
      <c r="AU56" s="131"/>
      <c r="AV56" s="131"/>
      <c r="AW56" s="131"/>
      <c r="AX56" s="131"/>
      <c r="AY56" s="131"/>
      <c r="AZ56" s="131"/>
      <c r="BA56" s="131"/>
      <c r="BB56" s="131"/>
      <c r="BC56" s="131"/>
      <c r="BD56" s="348"/>
      <c r="BE56" s="348"/>
      <c r="BF56" s="348"/>
      <c r="BG56" s="348"/>
      <c r="BH56" s="132"/>
      <c r="BI56" s="131"/>
      <c r="BJ56" s="131"/>
      <c r="BK56" s="348"/>
      <c r="BL56" s="348"/>
      <c r="BM56" s="348"/>
      <c r="BN56" s="348"/>
      <c r="BO56" s="348"/>
      <c r="BP56" s="133"/>
      <c r="CE56" s="118"/>
      <c r="CF56" s="118"/>
      <c r="CG56" s="118"/>
      <c r="CH56" s="46"/>
    </row>
    <row r="57" spans="1:86" s="44" customFormat="1" ht="30" customHeight="1" x14ac:dyDescent="0.25">
      <c r="A57" s="32">
        <f>Psychologia!A57</f>
        <v>37</v>
      </c>
      <c r="B57" s="127" t="str">
        <f>IF(Psychologia!B57&gt;0,Psychologia!B57," ")</f>
        <v xml:space="preserve"> </v>
      </c>
      <c r="C57" s="128" t="str">
        <f>IF(Psychologia!C57&gt;0,Psychologia!C57," ")</f>
        <v>2026/2027</v>
      </c>
      <c r="D57" s="128" t="str">
        <f>IF(Psychologia!D57&gt;0,Psychologia!D57," ")</f>
        <v xml:space="preserve"> </v>
      </c>
      <c r="E57" s="127">
        <v>2</v>
      </c>
      <c r="F57" s="32" t="s">
        <v>106</v>
      </c>
      <c r="G57" s="32" t="str">
        <f>IF(Psychologia!G57&gt;0,Psychologia!G57," ")</f>
        <v>RPS</v>
      </c>
      <c r="H57" s="122" t="str">
        <f>IF(Psychologia!H57&gt;0,Psychologia!H57," ")</f>
        <v xml:space="preserve"> </v>
      </c>
      <c r="I57" s="122" t="str">
        <f>IF(Psychologia!I57&gt;0,Psychologia!I57," ")</f>
        <v>Psychologia rozwoju człowieka</v>
      </c>
      <c r="J57" s="123">
        <f>Psychologia!Y57+Psychologia!AV57</f>
        <v>100</v>
      </c>
      <c r="K57" s="124">
        <f>Psychologia!AS57+Psychologia!BP57</f>
        <v>50</v>
      </c>
      <c r="L57" s="125">
        <f>Psychologia!Z57+Psychologia!AW57</f>
        <v>50</v>
      </c>
      <c r="M57" s="126">
        <f>Psychologia!AB57+Psychologia!AD57+Psychologia!AY57+Psychologia!BA57</f>
        <v>30</v>
      </c>
      <c r="N57" s="220">
        <f>Psychologia!AA57+Psychologia!AX57</f>
        <v>50</v>
      </c>
      <c r="O57" s="232">
        <f>Psychologia!X57+Psychologia!AU57</f>
        <v>4</v>
      </c>
      <c r="P57" s="128" t="str">
        <f>IF(Psychologia!V57&gt;0,Psychologia!V57," ")</f>
        <v>egz</v>
      </c>
      <c r="Q57" s="150">
        <f t="shared" si="7"/>
        <v>0</v>
      </c>
      <c r="R57" s="135">
        <f t="shared" si="10"/>
        <v>0</v>
      </c>
      <c r="S57" s="161">
        <f t="shared" si="9"/>
        <v>0</v>
      </c>
      <c r="T57" s="132"/>
      <c r="U57" s="131"/>
      <c r="V57" s="131"/>
      <c r="W57" s="131"/>
      <c r="X57" s="131"/>
      <c r="Y57" s="131"/>
      <c r="Z57" s="131"/>
      <c r="AA57" s="131"/>
      <c r="AB57" s="131"/>
      <c r="AC57" s="131"/>
      <c r="AD57" s="131"/>
      <c r="AE57" s="131"/>
      <c r="AF57" s="132"/>
      <c r="AG57" s="131"/>
      <c r="AH57" s="131"/>
      <c r="AI57" s="131"/>
      <c r="AJ57" s="131"/>
      <c r="AK57" s="131"/>
      <c r="AL57" s="131"/>
      <c r="AM57" s="131"/>
      <c r="AN57" s="131"/>
      <c r="AO57" s="131"/>
      <c r="AP57" s="131"/>
      <c r="AQ57" s="131"/>
      <c r="AR57" s="131"/>
      <c r="AS57" s="131"/>
      <c r="AT57" s="131"/>
      <c r="AU57" s="131"/>
      <c r="AV57" s="131"/>
      <c r="AW57" s="131"/>
      <c r="AX57" s="131"/>
      <c r="AY57" s="131"/>
      <c r="AZ57" s="131"/>
      <c r="BA57" s="131"/>
      <c r="BB57" s="131"/>
      <c r="BC57" s="131"/>
      <c r="BD57" s="348"/>
      <c r="BE57" s="348"/>
      <c r="BF57" s="348"/>
      <c r="BG57" s="348"/>
      <c r="BH57" s="132"/>
      <c r="BI57" s="131"/>
      <c r="BJ57" s="131"/>
      <c r="BK57" s="348"/>
      <c r="BL57" s="348"/>
      <c r="BM57" s="348"/>
      <c r="BN57" s="348"/>
      <c r="BO57" s="348"/>
      <c r="BP57" s="133"/>
      <c r="CE57" s="118"/>
      <c r="CF57" s="118"/>
      <c r="CG57" s="118"/>
      <c r="CH57" s="46"/>
    </row>
    <row r="58" spans="1:86" s="44" customFormat="1" ht="30" customHeight="1" x14ac:dyDescent="0.25">
      <c r="A58" s="32">
        <f>Psychologia!A58</f>
        <v>38</v>
      </c>
      <c r="B58" s="127" t="str">
        <f>IF(Psychologia!B58&gt;0,Psychologia!B58," ")</f>
        <v xml:space="preserve"> </v>
      </c>
      <c r="C58" s="128" t="str">
        <f>IF(Psychologia!C58&gt;0,Psychologia!C58," ")</f>
        <v>2026/2027</v>
      </c>
      <c r="D58" s="128" t="str">
        <f>IF(Psychologia!D58&gt;0,Psychologia!D58," ")</f>
        <v xml:space="preserve"> </v>
      </c>
      <c r="E58" s="127">
        <f>IF(Psychologia!E58&gt;0,Psychologia!E58," ")</f>
        <v>2</v>
      </c>
      <c r="F58" s="32" t="str">
        <f>IF(Psychologia!F58&gt;0,Psychologia!F58," ")</f>
        <v>2027/2028</v>
      </c>
      <c r="G58" s="32" t="str">
        <f>IF(Psychologia!G58&gt;0,Psychologia!G58," ")</f>
        <v>RPS</v>
      </c>
      <c r="H58" s="122" t="str">
        <f>IF(Psychologia!H58&gt;0,Psychologia!H58," ")</f>
        <v xml:space="preserve"> </v>
      </c>
      <c r="I58" s="122" t="str">
        <f>IF(Psychologia!I58&gt;0,Psychologia!I58," ")</f>
        <v>Psychologia różnic indywidualnych I</v>
      </c>
      <c r="J58" s="123">
        <f>Psychologia!Y58+Psychologia!AV58</f>
        <v>50</v>
      </c>
      <c r="K58" s="124">
        <f>Psychologia!AS58+Psychologia!BP58</f>
        <v>0</v>
      </c>
      <c r="L58" s="125">
        <f>Psychologia!Z58+Psychologia!AW58</f>
        <v>50</v>
      </c>
      <c r="M58" s="126">
        <f>Psychologia!AB58+Psychologia!AD58+Psychologia!AY58+Psychologia!BA58</f>
        <v>25</v>
      </c>
      <c r="N58" s="220">
        <f>Psychologia!AA58+Psychologia!AX58</f>
        <v>50</v>
      </c>
      <c r="O58" s="232">
        <f>Psychologia!X58+Psychologia!AU58</f>
        <v>2</v>
      </c>
      <c r="P58" s="128" t="str">
        <f>IF(Psychologia!V58&gt;0,Psychologia!V58," ")</f>
        <v>zal/o</v>
      </c>
      <c r="Q58" s="150">
        <f t="shared" si="7"/>
        <v>0</v>
      </c>
      <c r="R58" s="135">
        <f t="shared" si="10"/>
        <v>0</v>
      </c>
      <c r="S58" s="161">
        <f t="shared" si="9"/>
        <v>0</v>
      </c>
      <c r="T58" s="132"/>
      <c r="U58" s="131"/>
      <c r="V58" s="131"/>
      <c r="W58" s="131"/>
      <c r="X58" s="131"/>
      <c r="Y58" s="131"/>
      <c r="Z58" s="131"/>
      <c r="AA58" s="131"/>
      <c r="AB58" s="131"/>
      <c r="AC58" s="131"/>
      <c r="AD58" s="131"/>
      <c r="AE58" s="131"/>
      <c r="AF58" s="132"/>
      <c r="AG58" s="131"/>
      <c r="AH58" s="131"/>
      <c r="AI58" s="131"/>
      <c r="AJ58" s="131"/>
      <c r="AK58" s="131"/>
      <c r="AL58" s="131"/>
      <c r="AM58" s="131"/>
      <c r="AN58" s="131"/>
      <c r="AO58" s="131"/>
      <c r="AP58" s="131"/>
      <c r="AQ58" s="131"/>
      <c r="AR58" s="131"/>
      <c r="AS58" s="131"/>
      <c r="AT58" s="131"/>
      <c r="AU58" s="131"/>
      <c r="AV58" s="131"/>
      <c r="AW58" s="131"/>
      <c r="AX58" s="131"/>
      <c r="AY58" s="131"/>
      <c r="AZ58" s="131"/>
      <c r="BA58" s="131"/>
      <c r="BB58" s="131"/>
      <c r="BC58" s="131"/>
      <c r="BD58" s="348"/>
      <c r="BE58" s="348"/>
      <c r="BF58" s="348"/>
      <c r="BG58" s="348"/>
      <c r="BH58" s="132"/>
      <c r="BI58" s="131"/>
      <c r="BJ58" s="131"/>
      <c r="BK58" s="348"/>
      <c r="BL58" s="348"/>
      <c r="BM58" s="348"/>
      <c r="BN58" s="348"/>
      <c r="BO58" s="348"/>
      <c r="BP58" s="133"/>
      <c r="CE58" s="118"/>
      <c r="CF58" s="118"/>
      <c r="CG58" s="118"/>
      <c r="CH58" s="46"/>
    </row>
    <row r="59" spans="1:86" s="44" customFormat="1" ht="30.6" customHeight="1" x14ac:dyDescent="0.25">
      <c r="A59" s="32">
        <f>Psychologia!A59</f>
        <v>39</v>
      </c>
      <c r="B59" s="127" t="str">
        <f>IF(Psychologia!B59&gt;0,Psychologia!B59," ")</f>
        <v xml:space="preserve"> </v>
      </c>
      <c r="C59" s="128" t="str">
        <f>IF(Psychologia!C59&gt;0,Psychologia!C59," ")</f>
        <v>2026/2027</v>
      </c>
      <c r="D59" s="128" t="str">
        <f>IF(Psychologia!D59&gt;0,Psychologia!D59," ")</f>
        <v xml:space="preserve"> </v>
      </c>
      <c r="E59" s="127">
        <f>IF(Psychologia!E59&gt;0,Psychologia!E59," ")</f>
        <v>2</v>
      </c>
      <c r="F59" s="32" t="str">
        <f>IF(Psychologia!F59&gt;0,Psychologia!F59," ")</f>
        <v>2027/2028</v>
      </c>
      <c r="G59" s="32" t="str">
        <f>IF(Psychologia!G59&gt;0,Psychologia!G59," ")</f>
        <v>RPS</v>
      </c>
      <c r="H59" s="122" t="str">
        <f>IF(Psychologia!H59&gt;0,Psychologia!H59," ")</f>
        <v xml:space="preserve"> </v>
      </c>
      <c r="I59" s="122" t="str">
        <f>IF(Psychologia!I59&gt;0,Psychologia!I59," ")</f>
        <v>Psychologia różnic indywidualnych II</v>
      </c>
      <c r="J59" s="123">
        <f>Psychologia!Y59+Psychologia!AV59</f>
        <v>75</v>
      </c>
      <c r="K59" s="124">
        <f>Psychologia!AS59+Psychologia!BP59</f>
        <v>25</v>
      </c>
      <c r="L59" s="125">
        <f>Psychologia!Z59+Psychologia!AW59</f>
        <v>50</v>
      </c>
      <c r="M59" s="126">
        <f>Psychologia!AB59+Psychologia!AD59+Psychologia!AY59+Psychologia!BA59</f>
        <v>20</v>
      </c>
      <c r="N59" s="220">
        <f>Psychologia!AA59+Psychologia!AX59</f>
        <v>50</v>
      </c>
      <c r="O59" s="232">
        <f>Psychologia!X59+Psychologia!AU59</f>
        <v>3</v>
      </c>
      <c r="P59" s="128" t="str">
        <f>IF(Psychologia!V59&gt;0,Psychologia!V59," ")</f>
        <v>egz</v>
      </c>
      <c r="Q59" s="150">
        <f t="shared" si="7"/>
        <v>0</v>
      </c>
      <c r="R59" s="135">
        <f t="shared" si="10"/>
        <v>0</v>
      </c>
      <c r="S59" s="161">
        <f t="shared" si="9"/>
        <v>0</v>
      </c>
      <c r="T59" s="132"/>
      <c r="U59" s="131"/>
      <c r="V59" s="131"/>
      <c r="W59" s="131"/>
      <c r="X59" s="131"/>
      <c r="Y59" s="131"/>
      <c r="Z59" s="131"/>
      <c r="AA59" s="131"/>
      <c r="AB59" s="131"/>
      <c r="AC59" s="131"/>
      <c r="AD59" s="131"/>
      <c r="AE59" s="131"/>
      <c r="AF59" s="132"/>
      <c r="AG59" s="131"/>
      <c r="AH59" s="131"/>
      <c r="AI59" s="131"/>
      <c r="AJ59" s="131"/>
      <c r="AK59" s="131"/>
      <c r="AL59" s="131"/>
      <c r="AM59" s="131"/>
      <c r="AN59" s="131"/>
      <c r="AO59" s="131"/>
      <c r="AP59" s="131"/>
      <c r="AQ59" s="131"/>
      <c r="AR59" s="131"/>
      <c r="AS59" s="131"/>
      <c r="AT59" s="131"/>
      <c r="AU59" s="131"/>
      <c r="AV59" s="131"/>
      <c r="AW59" s="131"/>
      <c r="AX59" s="131"/>
      <c r="AY59" s="131"/>
      <c r="AZ59" s="131"/>
      <c r="BA59" s="131"/>
      <c r="BB59" s="131"/>
      <c r="BC59" s="131"/>
      <c r="BD59" s="348"/>
      <c r="BE59" s="348"/>
      <c r="BF59" s="348"/>
      <c r="BG59" s="348"/>
      <c r="BH59" s="132"/>
      <c r="BI59" s="131"/>
      <c r="BJ59" s="131"/>
      <c r="BK59" s="348"/>
      <c r="BL59" s="348"/>
      <c r="BM59" s="348"/>
      <c r="BN59" s="348"/>
      <c r="BO59" s="348"/>
      <c r="BP59" s="133"/>
      <c r="CE59" s="118"/>
      <c r="CF59" s="118"/>
      <c r="CG59" s="118"/>
      <c r="CH59" s="46"/>
    </row>
    <row r="60" spans="1:86" s="44" customFormat="1" ht="30.6" customHeight="1" thickBot="1" x14ac:dyDescent="0.3">
      <c r="A60" s="32">
        <f>Psychologia!A60</f>
        <v>40</v>
      </c>
      <c r="B60" s="127" t="str">
        <f>IF(Psychologia!B60&gt;0,Psychologia!B60," ")</f>
        <v xml:space="preserve"> </v>
      </c>
      <c r="C60" s="128" t="str">
        <f>IF(Psychologia!C60&gt;0,Psychologia!C60," ")</f>
        <v>2026/2027</v>
      </c>
      <c r="D60" s="128" t="str">
        <f>IF(Psychologia!D60&gt;0,Psychologia!D60," ")</f>
        <v xml:space="preserve"> </v>
      </c>
      <c r="E60" s="127">
        <f>IF(Psychologia!E60&gt;0,Psychologia!E60," ")</f>
        <v>2</v>
      </c>
      <c r="F60" s="32" t="str">
        <f>IF(Psychologia!F60&gt;0,Psychologia!F60," ")</f>
        <v>2027/2028</v>
      </c>
      <c r="G60" s="32" t="str">
        <f>IF(Psychologia!G60&gt;0,Psychologia!G60," ")</f>
        <v>RPS</v>
      </c>
      <c r="H60" s="122" t="str">
        <f>IF(Psychologia!H60&gt;0,Psychologia!H60," ")</f>
        <v xml:space="preserve"> </v>
      </c>
      <c r="I60" s="122" t="str">
        <f>IF(Psychologia!I60&gt;0,Psychologia!I60," ")</f>
        <v>Socjologia</v>
      </c>
      <c r="J60" s="355">
        <f>Psychologia!Y60+Psychologia!AV60</f>
        <v>50</v>
      </c>
      <c r="K60" s="356">
        <f>Psychologia!AS60+Psychologia!BP60</f>
        <v>20</v>
      </c>
      <c r="L60" s="357">
        <f>Psychologia!Z60+Psychologia!AW60</f>
        <v>30</v>
      </c>
      <c r="M60" s="358">
        <f>Psychologia!AB60+Psychologia!AD60+Psychologia!AY60+Psychologia!BA60</f>
        <v>30</v>
      </c>
      <c r="N60" s="359">
        <f>Psychologia!AA60+Psychologia!AX60</f>
        <v>30</v>
      </c>
      <c r="O60" s="360">
        <f>Psychologia!X60+Psychologia!AU60</f>
        <v>2</v>
      </c>
      <c r="P60" s="361" t="str">
        <f>IF(Psychologia!V60&gt;0,Psychologia!V60," ")</f>
        <v>egz</v>
      </c>
      <c r="Q60" s="362">
        <f t="shared" si="7"/>
        <v>0</v>
      </c>
      <c r="R60" s="363">
        <f t="shared" si="10"/>
        <v>0</v>
      </c>
      <c r="S60" s="364">
        <f t="shared" si="9"/>
        <v>0</v>
      </c>
      <c r="T60" s="350"/>
      <c r="U60" s="351"/>
      <c r="V60" s="351"/>
      <c r="W60" s="351"/>
      <c r="X60" s="351"/>
      <c r="Y60" s="351"/>
      <c r="Z60" s="351"/>
      <c r="AA60" s="351"/>
      <c r="AB60" s="351"/>
      <c r="AC60" s="351"/>
      <c r="AD60" s="351"/>
      <c r="AE60" s="351"/>
      <c r="AF60" s="350"/>
      <c r="AG60" s="351"/>
      <c r="AH60" s="351"/>
      <c r="AI60" s="351"/>
      <c r="AJ60" s="351"/>
      <c r="AK60" s="351"/>
      <c r="AL60" s="351"/>
      <c r="AM60" s="351"/>
      <c r="AN60" s="351"/>
      <c r="AO60" s="351"/>
      <c r="AP60" s="351"/>
      <c r="AQ60" s="351"/>
      <c r="AR60" s="351"/>
      <c r="AS60" s="351"/>
      <c r="AT60" s="351"/>
      <c r="AU60" s="351"/>
      <c r="AV60" s="351"/>
      <c r="AW60" s="351"/>
      <c r="AX60" s="351"/>
      <c r="AY60" s="351"/>
      <c r="AZ60" s="351"/>
      <c r="BA60" s="351"/>
      <c r="BB60" s="351"/>
      <c r="BC60" s="351"/>
      <c r="BD60" s="352"/>
      <c r="BE60" s="352"/>
      <c r="BF60" s="352"/>
      <c r="BG60" s="352"/>
      <c r="BH60" s="350"/>
      <c r="BI60" s="351"/>
      <c r="BJ60" s="351"/>
      <c r="BK60" s="352"/>
      <c r="BL60" s="352"/>
      <c r="BM60" s="352"/>
      <c r="BN60" s="352"/>
      <c r="BO60" s="352"/>
      <c r="BP60" s="353"/>
      <c r="CE60" s="118"/>
      <c r="CF60" s="118"/>
      <c r="CG60" s="118"/>
      <c r="CH60" s="46"/>
    </row>
    <row r="61" spans="1:86" s="44" customFormat="1" ht="30" customHeight="1" thickBot="1" x14ac:dyDescent="0.3">
      <c r="A61" s="302"/>
      <c r="B61" s="303" t="str">
        <f>IF(Psychologia!B61&gt;0,Psychologia!B61," ")</f>
        <v xml:space="preserve"> </v>
      </c>
      <c r="C61" s="304" t="str">
        <f>IF(Psychologia!C61&gt;0,Psychologia!C61," ")</f>
        <v xml:space="preserve"> </v>
      </c>
      <c r="D61" s="304" t="str">
        <f>IF(Psychologia!D61&gt;0,Psychologia!D61," ")</f>
        <v xml:space="preserve"> </v>
      </c>
      <c r="E61" s="303" t="str">
        <f>IF(Psychologia!E61&gt;0,Psychologia!E61," ")</f>
        <v xml:space="preserve"> </v>
      </c>
      <c r="F61" s="304" t="str">
        <f>IF(Psychologia!F61&gt;0,Psychologia!F61," ")</f>
        <v xml:space="preserve"> </v>
      </c>
      <c r="G61" s="304" t="str">
        <f>IF(Psychologia!G61&gt;0,Psychologia!G61," ")</f>
        <v xml:space="preserve"> </v>
      </c>
      <c r="H61" s="305" t="str">
        <f>IF(Psychologia!H61&gt;0,Psychologia!H61," ")</f>
        <v xml:space="preserve"> </v>
      </c>
      <c r="I61" s="301" t="str">
        <f>IF(Psychologia!I61&gt;0,Psychologia!I61," ")</f>
        <v>sumy dla 2 roku</v>
      </c>
      <c r="J61" s="306">
        <f>Psychologia!Y61+Psychologia!AV61</f>
        <v>1520</v>
      </c>
      <c r="K61" s="307">
        <f>Psychologia!AS61+Psychologia!BP61</f>
        <v>450</v>
      </c>
      <c r="L61" s="308">
        <f>SUM(Psychologia!O43:O60)</f>
        <v>1070</v>
      </c>
      <c r="M61" s="308" t="e">
        <f>SUM(M43:M60)</f>
        <v>#REF!</v>
      </c>
      <c r="N61" s="308">
        <f>SUM(Psychologia!P43:P60)</f>
        <v>1070</v>
      </c>
      <c r="O61" s="308">
        <f>SUM(Psychologia!Q43:Q60)</f>
        <v>60</v>
      </c>
      <c r="P61" s="308" t="str">
        <f>IF(Psychologia!V61&gt;0,Psychologia!V61," ")</f>
        <v xml:space="preserve"> </v>
      </c>
      <c r="Q61" s="308">
        <f t="shared" ref="Q61:AN61" si="11">SUM(Q43:Q60)</f>
        <v>0</v>
      </c>
      <c r="R61" s="308">
        <f t="shared" si="11"/>
        <v>0</v>
      </c>
      <c r="S61" s="308">
        <f t="shared" si="11"/>
        <v>0</v>
      </c>
      <c r="T61" s="308">
        <f t="shared" si="11"/>
        <v>0</v>
      </c>
      <c r="U61" s="308">
        <f t="shared" si="11"/>
        <v>0</v>
      </c>
      <c r="V61" s="308">
        <f t="shared" si="11"/>
        <v>0</v>
      </c>
      <c r="W61" s="308">
        <f t="shared" si="11"/>
        <v>0</v>
      </c>
      <c r="X61" s="308">
        <f t="shared" si="11"/>
        <v>0</v>
      </c>
      <c r="Y61" s="308">
        <f t="shared" si="11"/>
        <v>0</v>
      </c>
      <c r="Z61" s="308">
        <f t="shared" si="11"/>
        <v>0</v>
      </c>
      <c r="AA61" s="308">
        <f t="shared" si="11"/>
        <v>0</v>
      </c>
      <c r="AB61" s="308">
        <f t="shared" si="11"/>
        <v>0</v>
      </c>
      <c r="AC61" s="308">
        <f t="shared" si="11"/>
        <v>0</v>
      </c>
      <c r="AD61" s="308">
        <f t="shared" si="11"/>
        <v>0</v>
      </c>
      <c r="AE61" s="308">
        <f t="shared" si="11"/>
        <v>0</v>
      </c>
      <c r="AF61" s="308">
        <f t="shared" si="11"/>
        <v>0</v>
      </c>
      <c r="AG61" s="308">
        <f t="shared" si="11"/>
        <v>0</v>
      </c>
      <c r="AH61" s="308">
        <f t="shared" si="11"/>
        <v>0</v>
      </c>
      <c r="AI61" s="308">
        <f t="shared" si="11"/>
        <v>0</v>
      </c>
      <c r="AJ61" s="308">
        <f t="shared" si="11"/>
        <v>0</v>
      </c>
      <c r="AK61" s="308">
        <f t="shared" si="11"/>
        <v>0</v>
      </c>
      <c r="AL61" s="308">
        <f t="shared" si="11"/>
        <v>0</v>
      </c>
      <c r="AM61" s="308">
        <f t="shared" si="11"/>
        <v>0</v>
      </c>
      <c r="AN61" s="308">
        <f t="shared" si="11"/>
        <v>0</v>
      </c>
      <c r="AO61" s="308">
        <f t="shared" ref="AO61:BP61" si="12">SUM(AO43:AO60)</f>
        <v>0</v>
      </c>
      <c r="AP61" s="308">
        <f t="shared" si="12"/>
        <v>0</v>
      </c>
      <c r="AQ61" s="308">
        <f t="shared" si="12"/>
        <v>0</v>
      </c>
      <c r="AR61" s="308">
        <f t="shared" si="12"/>
        <v>0</v>
      </c>
      <c r="AS61" s="308">
        <f t="shared" si="12"/>
        <v>0</v>
      </c>
      <c r="AT61" s="308">
        <f t="shared" si="12"/>
        <v>0</v>
      </c>
      <c r="AU61" s="308">
        <f t="shared" si="12"/>
        <v>0</v>
      </c>
      <c r="AV61" s="308">
        <f t="shared" si="12"/>
        <v>0</v>
      </c>
      <c r="AW61" s="308">
        <f t="shared" si="12"/>
        <v>0</v>
      </c>
      <c r="AX61" s="308">
        <f t="shared" si="12"/>
        <v>0</v>
      </c>
      <c r="AY61" s="308">
        <f t="shared" si="12"/>
        <v>0</v>
      </c>
      <c r="AZ61" s="308">
        <f t="shared" si="12"/>
        <v>0</v>
      </c>
      <c r="BA61" s="308">
        <f t="shared" si="12"/>
        <v>0</v>
      </c>
      <c r="BB61" s="308">
        <f t="shared" si="12"/>
        <v>0</v>
      </c>
      <c r="BC61" s="308">
        <f t="shared" si="12"/>
        <v>0</v>
      </c>
      <c r="BD61" s="308">
        <f t="shared" si="12"/>
        <v>0</v>
      </c>
      <c r="BE61" s="308">
        <f t="shared" si="12"/>
        <v>0</v>
      </c>
      <c r="BF61" s="308">
        <f t="shared" si="12"/>
        <v>0</v>
      </c>
      <c r="BG61" s="611">
        <f t="shared" si="12"/>
        <v>0</v>
      </c>
      <c r="BH61" s="615">
        <f t="shared" si="12"/>
        <v>0</v>
      </c>
      <c r="BI61" s="308">
        <f t="shared" si="12"/>
        <v>0</v>
      </c>
      <c r="BJ61" s="308">
        <f t="shared" si="12"/>
        <v>0</v>
      </c>
      <c r="BK61" s="308">
        <f t="shared" si="12"/>
        <v>0</v>
      </c>
      <c r="BL61" s="308">
        <f t="shared" si="12"/>
        <v>0</v>
      </c>
      <c r="BM61" s="308">
        <f t="shared" si="12"/>
        <v>0</v>
      </c>
      <c r="BN61" s="308">
        <f t="shared" si="12"/>
        <v>0</v>
      </c>
      <c r="BO61" s="308">
        <f t="shared" si="12"/>
        <v>0</v>
      </c>
      <c r="BP61" s="616">
        <f t="shared" si="12"/>
        <v>0</v>
      </c>
      <c r="CE61" s="118"/>
      <c r="CF61" s="118"/>
      <c r="CG61" s="118"/>
      <c r="CH61" s="46"/>
    </row>
    <row r="62" spans="1:86" s="44" customFormat="1" ht="30" customHeight="1" x14ac:dyDescent="0.25">
      <c r="A62" s="32">
        <f>Psychologia!A62</f>
        <v>41</v>
      </c>
      <c r="B62" s="127" t="str">
        <f>IF(Psychologia!B62&gt;0,Psychologia!B62," ")</f>
        <v xml:space="preserve"> </v>
      </c>
      <c r="C62" s="128" t="str">
        <f>IF(Psychologia!C62&gt;0,Psychologia!C62," ")</f>
        <v>2026/2027</v>
      </c>
      <c r="D62" s="128" t="str">
        <f>IF(Psychologia!D62&gt;0,Psychologia!D62," ")</f>
        <v xml:space="preserve"> </v>
      </c>
      <c r="E62" s="127">
        <f>IF(Psychologia!E62&gt;0,Psychologia!E62," ")</f>
        <v>3</v>
      </c>
      <c r="F62" s="32" t="str">
        <f>IF(Psychologia!F62&gt;0,Psychologia!F62," ")</f>
        <v>2028/2029</v>
      </c>
      <c r="G62" s="32" t="str">
        <f>IF(Psychologia!G62&gt;0,Psychologia!G62," ")</f>
        <v>RPS</v>
      </c>
      <c r="H62" s="122" t="str">
        <f>IF(Psychologia!H62&gt;0,Psychologia!H62," ")</f>
        <v xml:space="preserve"> </v>
      </c>
      <c r="I62" s="122" t="str">
        <f>IF(Psychologia!I62&gt;0,Psychologia!I62," ")</f>
        <v>Metodologia badań psychologicznych II</v>
      </c>
      <c r="J62" s="365">
        <f>Psychologia!Y62+Psychologia!AV62</f>
        <v>75</v>
      </c>
      <c r="K62" s="366">
        <f>Psychologia!AS62+Psychologia!BP62</f>
        <v>50</v>
      </c>
      <c r="L62" s="367">
        <f>Psychologia!Z62+Psychologia!AW62</f>
        <v>25</v>
      </c>
      <c r="M62" s="368">
        <f>Psychologia!AB62+Psychologia!AD62+Psychologia!AY62+Psychologia!BA62</f>
        <v>15</v>
      </c>
      <c r="N62" s="369">
        <f>Psychologia!AA62+Psychologia!AX62</f>
        <v>25</v>
      </c>
      <c r="O62" s="370">
        <f>Psychologia!X62+Psychologia!AU62</f>
        <v>3</v>
      </c>
      <c r="P62" s="371" t="str">
        <f>IF(Psychologia!V62&gt;0,Psychologia!V62," ")</f>
        <v>egz</v>
      </c>
      <c r="Q62" s="150">
        <f t="shared" ref="Q62:Q79" si="13">SUM(T62:AE62)</f>
        <v>0</v>
      </c>
      <c r="R62" s="135">
        <f>SUM(AF62:BG62)</f>
        <v>0</v>
      </c>
      <c r="S62" s="161">
        <f t="shared" ref="S62:S79" si="14">SUM(BH62:BP62)</f>
        <v>0</v>
      </c>
      <c r="T62" s="132"/>
      <c r="U62" s="131"/>
      <c r="V62" s="131"/>
      <c r="W62" s="131"/>
      <c r="X62" s="131"/>
      <c r="Y62" s="131"/>
      <c r="Z62" s="131"/>
      <c r="AA62" s="131"/>
      <c r="AB62" s="131"/>
      <c r="AC62" s="131"/>
      <c r="AD62" s="131"/>
      <c r="AE62" s="131"/>
      <c r="AF62" s="132"/>
      <c r="AG62" s="131"/>
      <c r="AH62" s="131"/>
      <c r="AI62" s="131"/>
      <c r="AJ62" s="131"/>
      <c r="AK62" s="131"/>
      <c r="AL62" s="131"/>
      <c r="AM62" s="131"/>
      <c r="AN62" s="131"/>
      <c r="AO62" s="131"/>
      <c r="AP62" s="131"/>
      <c r="AQ62" s="131"/>
      <c r="AR62" s="131"/>
      <c r="AS62" s="131"/>
      <c r="AT62" s="131"/>
      <c r="AU62" s="131"/>
      <c r="AV62" s="131"/>
      <c r="AW62" s="131"/>
      <c r="AX62" s="131"/>
      <c r="AY62" s="131"/>
      <c r="AZ62" s="131"/>
      <c r="BA62" s="131"/>
      <c r="BB62" s="131"/>
      <c r="BC62" s="131"/>
      <c r="BD62" s="348"/>
      <c r="BE62" s="348"/>
      <c r="BF62" s="348"/>
      <c r="BG62" s="348"/>
      <c r="BH62" s="144"/>
      <c r="BI62" s="136"/>
      <c r="BJ62" s="136"/>
      <c r="BK62" s="349"/>
      <c r="BL62" s="349"/>
      <c r="BM62" s="349"/>
      <c r="BN62" s="349"/>
      <c r="BO62" s="349"/>
      <c r="BP62" s="145"/>
      <c r="CE62" s="118"/>
      <c r="CF62" s="118"/>
      <c r="CG62" s="118"/>
      <c r="CH62" s="46"/>
    </row>
    <row r="63" spans="1:86" s="44" customFormat="1" ht="30" customHeight="1" x14ac:dyDescent="0.25">
      <c r="A63" s="32">
        <f>Psychologia!A63</f>
        <v>42</v>
      </c>
      <c r="B63" s="127" t="str">
        <f>IF(Psychologia!B63&gt;0,Psychologia!B63," ")</f>
        <v xml:space="preserve"> </v>
      </c>
      <c r="C63" s="128" t="str">
        <f>IF(Psychologia!C63&gt;0,Psychologia!C63," ")</f>
        <v>2026/2027</v>
      </c>
      <c r="D63" s="128" t="str">
        <f>IF(Psychologia!D63&gt;0,Psychologia!D63," ")</f>
        <v xml:space="preserve"> </v>
      </c>
      <c r="E63" s="127">
        <f>IF(Psychologia!E63&gt;0,Psychologia!E63," ")</f>
        <v>3</v>
      </c>
      <c r="F63" s="32" t="str">
        <f>IF(Psychologia!F63&gt;0,Psychologia!F63," ")</f>
        <v>2028/2029</v>
      </c>
      <c r="G63" s="32" t="str">
        <f>IF(Psychologia!G63&gt;0,Psychologia!G63," ")</f>
        <v>RPS</v>
      </c>
      <c r="H63" s="122" t="str">
        <f>IF(Psychologia!H63&gt;0,Psychologia!H63," ")</f>
        <v xml:space="preserve"> </v>
      </c>
      <c r="I63" s="122" t="str">
        <f>IF(Psychologia!I63&gt;0,Psychologia!I63," ")</f>
        <v>Neuropsychologia</v>
      </c>
      <c r="J63" s="365">
        <f>Psychologia!Y63+Psychologia!AV63</f>
        <v>75</v>
      </c>
      <c r="K63" s="366">
        <f>Psychologia!AS63+Psychologia!BP63</f>
        <v>15</v>
      </c>
      <c r="L63" s="367">
        <f>Psychologia!Z63+Psychologia!AW63</f>
        <v>60</v>
      </c>
      <c r="M63" s="368">
        <f>Psychologia!AB63+Psychologia!AD63+Psychologia!AY63+Psychologia!BA63</f>
        <v>10</v>
      </c>
      <c r="N63" s="369">
        <f>Psychologia!AA63+Psychologia!AX63</f>
        <v>60</v>
      </c>
      <c r="O63" s="370">
        <f>Psychologia!X63+Psychologia!AU63</f>
        <v>3</v>
      </c>
      <c r="P63" s="371" t="str">
        <f>IF(Psychologia!V63&gt;0,Psychologia!V63," ")</f>
        <v>egz</v>
      </c>
      <c r="Q63" s="150">
        <f t="shared" si="13"/>
        <v>0</v>
      </c>
      <c r="R63" s="135">
        <f t="shared" ref="R63:R79" si="15">SUM(AF63:BG63)</f>
        <v>0</v>
      </c>
      <c r="S63" s="161">
        <f t="shared" si="14"/>
        <v>0</v>
      </c>
      <c r="T63" s="132"/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32"/>
      <c r="AG63" s="131"/>
      <c r="AH63" s="131"/>
      <c r="AI63" s="131"/>
      <c r="AJ63" s="131"/>
      <c r="AK63" s="131"/>
      <c r="AL63" s="131"/>
      <c r="AM63" s="131"/>
      <c r="AN63" s="131"/>
      <c r="AO63" s="131"/>
      <c r="AP63" s="131"/>
      <c r="AQ63" s="131"/>
      <c r="AR63" s="131"/>
      <c r="AS63" s="131"/>
      <c r="AT63" s="131"/>
      <c r="AU63" s="131"/>
      <c r="AV63" s="131"/>
      <c r="AW63" s="131"/>
      <c r="AX63" s="131"/>
      <c r="AY63" s="131"/>
      <c r="AZ63" s="131"/>
      <c r="BA63" s="131"/>
      <c r="BB63" s="131"/>
      <c r="BC63" s="131"/>
      <c r="BD63" s="348"/>
      <c r="BE63" s="348"/>
      <c r="BF63" s="348"/>
      <c r="BG63" s="348"/>
      <c r="BH63" s="144"/>
      <c r="BI63" s="136"/>
      <c r="BJ63" s="136"/>
      <c r="BK63" s="349"/>
      <c r="BL63" s="349"/>
      <c r="BM63" s="349"/>
      <c r="BN63" s="349"/>
      <c r="BO63" s="349"/>
      <c r="BP63" s="145"/>
      <c r="CE63" s="118"/>
      <c r="CF63" s="118"/>
      <c r="CG63" s="118"/>
      <c r="CH63" s="46"/>
    </row>
    <row r="64" spans="1:86" s="44" customFormat="1" ht="30" customHeight="1" x14ac:dyDescent="0.25">
      <c r="A64" s="32">
        <f>Psychologia!A64</f>
        <v>43</v>
      </c>
      <c r="B64" s="127" t="str">
        <f>IF(Psychologia!B64&gt;0,Psychologia!B64," ")</f>
        <v xml:space="preserve"> </v>
      </c>
      <c r="C64" s="128" t="str">
        <f>IF(Psychologia!C64&gt;0,Psychologia!C64," ")</f>
        <v>2026/2027</v>
      </c>
      <c r="D64" s="128" t="str">
        <f>IF(Psychologia!D64&gt;0,Psychologia!D64," ")</f>
        <v xml:space="preserve"> </v>
      </c>
      <c r="E64" s="127">
        <f>IF(Psychologia!E64&gt;0,Psychologia!E64," ")</f>
        <v>3</v>
      </c>
      <c r="F64" s="32" t="str">
        <f>IF(Psychologia!F64&gt;0,Psychologia!F64," ")</f>
        <v>2028/2029</v>
      </c>
      <c r="G64" s="32" t="str">
        <f>IF(Psychologia!G64&gt;0,Psychologia!G64," ")</f>
        <v>RPS</v>
      </c>
      <c r="H64" s="122" t="str">
        <f>IF(Psychologia!H64&gt;0,Psychologia!H64," ")</f>
        <v xml:space="preserve"> </v>
      </c>
      <c r="I64" s="122" t="str">
        <f>IF(Psychologia!I64&gt;0,Psychologia!I64," ")</f>
        <v xml:space="preserve">Podstawy neurologii </v>
      </c>
      <c r="J64" s="365">
        <f>Psychologia!Y64+Psychologia!AV64</f>
        <v>100</v>
      </c>
      <c r="K64" s="366">
        <f>Psychologia!AS64+Psychologia!BP64</f>
        <v>55</v>
      </c>
      <c r="L64" s="367">
        <f>Psychologia!Z64+Psychologia!AW64</f>
        <v>45</v>
      </c>
      <c r="M64" s="368">
        <f>Psychologia!AB64+Psychologia!AD64+Psychologia!AY64+Psychologia!BA64</f>
        <v>5</v>
      </c>
      <c r="N64" s="369">
        <f>Psychologia!AA64+Psychologia!AX64</f>
        <v>45</v>
      </c>
      <c r="O64" s="370">
        <f>Psychologia!X64+Psychologia!AU64</f>
        <v>4</v>
      </c>
      <c r="P64" s="371" t="str">
        <f>IF(Psychologia!V64&gt;0,Psychologia!V64," ")</f>
        <v>zal/o</v>
      </c>
      <c r="Q64" s="150">
        <f t="shared" si="13"/>
        <v>0</v>
      </c>
      <c r="R64" s="135">
        <f t="shared" si="15"/>
        <v>0</v>
      </c>
      <c r="S64" s="161">
        <f t="shared" si="14"/>
        <v>0</v>
      </c>
      <c r="T64" s="132"/>
      <c r="U64" s="131"/>
      <c r="V64" s="131"/>
      <c r="W64" s="131"/>
      <c r="X64" s="131"/>
      <c r="Y64" s="131"/>
      <c r="Z64" s="131"/>
      <c r="AA64" s="131"/>
      <c r="AB64" s="131"/>
      <c r="AC64" s="131"/>
      <c r="AD64" s="131"/>
      <c r="AE64" s="131"/>
      <c r="AF64" s="132"/>
      <c r="AG64" s="131"/>
      <c r="AH64" s="131"/>
      <c r="AI64" s="131"/>
      <c r="AJ64" s="131"/>
      <c r="AK64" s="131"/>
      <c r="AL64" s="131"/>
      <c r="AM64" s="131"/>
      <c r="AN64" s="131"/>
      <c r="AO64" s="131"/>
      <c r="AP64" s="131"/>
      <c r="AQ64" s="131"/>
      <c r="AR64" s="131"/>
      <c r="AS64" s="131"/>
      <c r="AT64" s="131"/>
      <c r="AU64" s="131"/>
      <c r="AV64" s="131"/>
      <c r="AW64" s="131"/>
      <c r="AX64" s="131"/>
      <c r="AY64" s="131"/>
      <c r="AZ64" s="131"/>
      <c r="BA64" s="131"/>
      <c r="BB64" s="131"/>
      <c r="BC64" s="131"/>
      <c r="BD64" s="348"/>
      <c r="BE64" s="348"/>
      <c r="BF64" s="348"/>
      <c r="BG64" s="348"/>
      <c r="BH64" s="144"/>
      <c r="BI64" s="136"/>
      <c r="BJ64" s="136"/>
      <c r="BK64" s="349"/>
      <c r="BL64" s="349"/>
      <c r="BM64" s="349"/>
      <c r="BN64" s="349"/>
      <c r="BO64" s="349"/>
      <c r="BP64" s="145"/>
      <c r="CE64" s="118"/>
      <c r="CF64" s="118"/>
      <c r="CG64" s="118"/>
      <c r="CH64" s="46"/>
    </row>
    <row r="65" spans="1:86" s="44" customFormat="1" ht="47.25" x14ac:dyDescent="0.25">
      <c r="A65" s="32">
        <f>Psychologia!A65</f>
        <v>44</v>
      </c>
      <c r="B65" s="127" t="str">
        <f>IF(Psychologia!B65&gt;0,Psychologia!B65," ")</f>
        <v xml:space="preserve"> </v>
      </c>
      <c r="C65" s="128" t="str">
        <f>IF(Psychologia!C65&gt;0,Psychologia!C65," ")</f>
        <v>2026/2027</v>
      </c>
      <c r="D65" s="128" t="str">
        <f>IF(Psychologia!D65&gt;0,Psychologia!D65," ")</f>
        <v xml:space="preserve"> </v>
      </c>
      <c r="E65" s="127">
        <f>IF(Psychologia!E65&gt;0,Psychologia!E65," ")</f>
        <v>3</v>
      </c>
      <c r="F65" s="32" t="str">
        <f>IF(Psychologia!F65&gt;0,Psychologia!F65," ")</f>
        <v>2028/2029</v>
      </c>
      <c r="G65" s="32" t="str">
        <f>IF(Psychologia!G65&gt;0,Psychologia!G65," ")</f>
        <v>RPS</v>
      </c>
      <c r="H65" s="122" t="str">
        <f>IF(Psychologia!H65&gt;0,Psychologia!H65," ")</f>
        <v xml:space="preserve"> </v>
      </c>
      <c r="I65" s="122" t="str">
        <f>IF(Psychologia!I65&gt;0,Psychologia!I65," ")</f>
        <v>Praktyki zawodowe w zakresie psychologicznej diagnozy i terapii chorób somatycznych</v>
      </c>
      <c r="J65" s="365">
        <f>Psychologia!Y65+Psychologia!AV65</f>
        <v>160</v>
      </c>
      <c r="K65" s="366">
        <f>Psychologia!AS65+Psychologia!BP65</f>
        <v>0</v>
      </c>
      <c r="L65" s="367">
        <f>Psychologia!Z65+Psychologia!AW65</f>
        <v>160</v>
      </c>
      <c r="M65" s="368">
        <f>Psychologia!AB65+Psychologia!AD65+Psychologia!AY65+Psychologia!BA65</f>
        <v>0</v>
      </c>
      <c r="N65" s="369">
        <f>Psychologia!AA65+Psychologia!AX65</f>
        <v>160</v>
      </c>
      <c r="O65" s="370">
        <f>Psychologia!X65+Psychologia!AU65</f>
        <v>6</v>
      </c>
      <c r="P65" s="371" t="str">
        <f>IF(Psychologia!V65&gt;0,Psychologia!V65," ")</f>
        <v>zal/o</v>
      </c>
      <c r="Q65" s="150">
        <f t="shared" si="13"/>
        <v>0</v>
      </c>
      <c r="R65" s="135">
        <f t="shared" si="15"/>
        <v>0</v>
      </c>
      <c r="S65" s="161">
        <f t="shared" si="14"/>
        <v>0</v>
      </c>
      <c r="T65" s="132"/>
      <c r="U65" s="131"/>
      <c r="V65" s="131"/>
      <c r="W65" s="131"/>
      <c r="X65" s="131"/>
      <c r="Y65" s="131"/>
      <c r="Z65" s="131"/>
      <c r="AA65" s="131"/>
      <c r="AB65" s="131"/>
      <c r="AC65" s="131"/>
      <c r="AD65" s="131"/>
      <c r="AE65" s="131"/>
      <c r="AF65" s="132"/>
      <c r="AG65" s="131"/>
      <c r="AH65" s="131"/>
      <c r="AI65" s="131"/>
      <c r="AJ65" s="131"/>
      <c r="AK65" s="131"/>
      <c r="AL65" s="131"/>
      <c r="AM65" s="131"/>
      <c r="AN65" s="131"/>
      <c r="AO65" s="131"/>
      <c r="AP65" s="131"/>
      <c r="AQ65" s="131"/>
      <c r="AR65" s="131"/>
      <c r="AS65" s="131"/>
      <c r="AT65" s="131"/>
      <c r="AU65" s="131"/>
      <c r="AV65" s="131"/>
      <c r="AW65" s="131"/>
      <c r="AX65" s="131"/>
      <c r="AY65" s="131"/>
      <c r="AZ65" s="131"/>
      <c r="BA65" s="131"/>
      <c r="BB65" s="131"/>
      <c r="BC65" s="131"/>
      <c r="BD65" s="348"/>
      <c r="BE65" s="348"/>
      <c r="BF65" s="348"/>
      <c r="BG65" s="348"/>
      <c r="BH65" s="144"/>
      <c r="BI65" s="136"/>
      <c r="BJ65" s="136"/>
      <c r="BK65" s="349"/>
      <c r="BL65" s="349"/>
      <c r="BM65" s="349"/>
      <c r="BN65" s="349"/>
      <c r="BO65" s="349"/>
      <c r="BP65" s="145"/>
      <c r="CE65" s="118"/>
      <c r="CF65" s="118"/>
      <c r="CG65" s="118"/>
      <c r="CH65" s="46"/>
    </row>
    <row r="66" spans="1:86" s="44" customFormat="1" ht="47.25" x14ac:dyDescent="0.25">
      <c r="A66" s="32">
        <f>Psychologia!A66</f>
        <v>45</v>
      </c>
      <c r="B66" s="127" t="str">
        <f>IF(Psychologia!B66&gt;0,Psychologia!B66," ")</f>
        <v xml:space="preserve"> </v>
      </c>
      <c r="C66" s="128" t="str">
        <f>IF(Psychologia!C66&gt;0,Psychologia!C66," ")</f>
        <v>2026/2027</v>
      </c>
      <c r="D66" s="128" t="str">
        <f>IF(Psychologia!D66&gt;0,Psychologia!D66," ")</f>
        <v xml:space="preserve"> </v>
      </c>
      <c r="E66" s="127">
        <f>IF(Psychologia!E66&gt;0,Psychologia!E66," ")</f>
        <v>3</v>
      </c>
      <c r="F66" s="32" t="str">
        <f>IF(Psychologia!F66&gt;0,Psychologia!F66," ")</f>
        <v>2028/2029</v>
      </c>
      <c r="G66" s="32" t="str">
        <f>IF(Psychologia!G66&gt;0,Psychologia!G66," ")</f>
        <v>RPS</v>
      </c>
      <c r="H66" s="122" t="str">
        <f>IF(Psychologia!H66&gt;0,Psychologia!H66," ")</f>
        <v xml:space="preserve"> </v>
      </c>
      <c r="I66" s="122" t="str">
        <f>IF(Psychologia!I66&gt;0,Psychologia!I66," ")</f>
        <v>Praktyki zawodowe w zakresie klinicznej diagnozy psychologicznej dorosłych</v>
      </c>
      <c r="J66" s="365">
        <f>Psychologia!Y66+Psychologia!AV66</f>
        <v>160</v>
      </c>
      <c r="K66" s="366">
        <f>Psychologia!AS66+Psychologia!BP66</f>
        <v>0</v>
      </c>
      <c r="L66" s="367">
        <f>Psychologia!Z66+Psychologia!AW66</f>
        <v>160</v>
      </c>
      <c r="M66" s="368">
        <f>Psychologia!AB66+Psychologia!AD66+Psychologia!AY66+Psychologia!BA66</f>
        <v>0</v>
      </c>
      <c r="N66" s="369">
        <f>Psychologia!AA66+Psychologia!AX66</f>
        <v>160</v>
      </c>
      <c r="O66" s="370">
        <f>Psychologia!X66+Psychologia!AU66</f>
        <v>6</v>
      </c>
      <c r="P66" s="371" t="str">
        <f>IF(Psychologia!V66&gt;0,Psychologia!V66," ")</f>
        <v>zal/o</v>
      </c>
      <c r="Q66" s="150">
        <f t="shared" si="13"/>
        <v>0</v>
      </c>
      <c r="R66" s="135">
        <f t="shared" si="15"/>
        <v>0</v>
      </c>
      <c r="S66" s="161">
        <f t="shared" si="14"/>
        <v>0</v>
      </c>
      <c r="T66" s="132"/>
      <c r="U66" s="131"/>
      <c r="V66" s="131"/>
      <c r="W66" s="131"/>
      <c r="X66" s="131"/>
      <c r="Y66" s="131"/>
      <c r="Z66" s="131"/>
      <c r="AA66" s="131"/>
      <c r="AB66" s="131"/>
      <c r="AC66" s="131"/>
      <c r="AD66" s="131"/>
      <c r="AE66" s="131"/>
      <c r="AF66" s="132"/>
      <c r="AG66" s="131"/>
      <c r="AH66" s="131"/>
      <c r="AI66" s="131"/>
      <c r="AJ66" s="131"/>
      <c r="AK66" s="131"/>
      <c r="AL66" s="131"/>
      <c r="AM66" s="131"/>
      <c r="AN66" s="131"/>
      <c r="AO66" s="131"/>
      <c r="AP66" s="131"/>
      <c r="AQ66" s="131"/>
      <c r="AR66" s="131"/>
      <c r="AS66" s="131"/>
      <c r="AT66" s="131"/>
      <c r="AU66" s="131"/>
      <c r="AV66" s="131"/>
      <c r="AW66" s="131"/>
      <c r="AX66" s="131"/>
      <c r="AY66" s="131"/>
      <c r="AZ66" s="131"/>
      <c r="BA66" s="131"/>
      <c r="BB66" s="131"/>
      <c r="BC66" s="131"/>
      <c r="BD66" s="348"/>
      <c r="BE66" s="348"/>
      <c r="BF66" s="348"/>
      <c r="BG66" s="348"/>
      <c r="BH66" s="144"/>
      <c r="BI66" s="136"/>
      <c r="BJ66" s="136"/>
      <c r="BK66" s="349"/>
      <c r="BL66" s="349"/>
      <c r="BM66" s="349"/>
      <c r="BN66" s="349"/>
      <c r="BO66" s="349"/>
      <c r="BP66" s="145"/>
      <c r="CE66" s="118"/>
      <c r="CF66" s="118"/>
      <c r="CG66" s="118"/>
      <c r="CH66" s="46"/>
    </row>
    <row r="67" spans="1:86" s="44" customFormat="1" ht="47.25" x14ac:dyDescent="0.25">
      <c r="A67" s="32">
        <f>Psychologia!A67</f>
        <v>46</v>
      </c>
      <c r="B67" s="127" t="str">
        <f>IF(Psychologia!B67&gt;0,Psychologia!B67," ")</f>
        <v xml:space="preserve"> </v>
      </c>
      <c r="C67" s="128" t="str">
        <f>IF(Psychologia!C67&gt;0,Psychologia!C67," ")</f>
        <v>2026/2027</v>
      </c>
      <c r="D67" s="128" t="str">
        <f>IF(Psychologia!D67&gt;0,Psychologia!D67," ")</f>
        <v xml:space="preserve"> </v>
      </c>
      <c r="E67" s="127">
        <f>IF(Psychologia!E67&gt;0,Psychologia!E67," ")</f>
        <v>3</v>
      </c>
      <c r="F67" s="32" t="str">
        <f>IF(Psychologia!F67&gt;0,Psychologia!F67," ")</f>
        <v>2028/2029</v>
      </c>
      <c r="G67" s="32" t="str">
        <f>IF(Psychologia!G67&gt;0,Psychologia!G67," ")</f>
        <v>POW</v>
      </c>
      <c r="H67" s="122" t="str">
        <f>IF(Psychologia!H67&gt;0,Psychologia!H67," ")</f>
        <v xml:space="preserve"> </v>
      </c>
      <c r="I67" s="122" t="str">
        <f>IF(Psychologia!I67&gt;0,Psychologia!I67," ")</f>
        <v>Projekt badawczy grupowy- psychologia zdrowia / psychologia kliniczna</v>
      </c>
      <c r="J67" s="365">
        <f>Psychologia!Y67+Psychologia!AV67</f>
        <v>50</v>
      </c>
      <c r="K67" s="366">
        <f>Psychologia!AS67+Psychologia!BP67</f>
        <v>40</v>
      </c>
      <c r="L67" s="367">
        <f>Psychologia!Z67+Psychologia!AW67</f>
        <v>10</v>
      </c>
      <c r="M67" s="368">
        <f>Psychologia!AB67+Psychologia!AD67+Psychologia!AY67+Psychologia!BA67</f>
        <v>0</v>
      </c>
      <c r="N67" s="369">
        <f>Psychologia!AA67+Psychologia!AX67</f>
        <v>10</v>
      </c>
      <c r="O67" s="370">
        <f>Psychologia!X67+Psychologia!AU67</f>
        <v>2</v>
      </c>
      <c r="P67" s="371" t="str">
        <f>IF(Psychologia!V67&gt;0,Psychologia!V67," ")</f>
        <v>zal/o</v>
      </c>
      <c r="Q67" s="150">
        <f t="shared" si="13"/>
        <v>0</v>
      </c>
      <c r="R67" s="135">
        <f t="shared" si="15"/>
        <v>0</v>
      </c>
      <c r="S67" s="161">
        <f t="shared" si="14"/>
        <v>0</v>
      </c>
      <c r="T67" s="132"/>
      <c r="U67" s="131"/>
      <c r="V67" s="131"/>
      <c r="W67" s="131"/>
      <c r="X67" s="131"/>
      <c r="Y67" s="131"/>
      <c r="Z67" s="131"/>
      <c r="AA67" s="131"/>
      <c r="AB67" s="131"/>
      <c r="AC67" s="131"/>
      <c r="AD67" s="131"/>
      <c r="AE67" s="131"/>
      <c r="AF67" s="132"/>
      <c r="AG67" s="131"/>
      <c r="AH67" s="131"/>
      <c r="AI67" s="131"/>
      <c r="AJ67" s="131"/>
      <c r="AK67" s="131"/>
      <c r="AL67" s="131"/>
      <c r="AM67" s="131"/>
      <c r="AN67" s="131"/>
      <c r="AO67" s="131"/>
      <c r="AP67" s="131"/>
      <c r="AQ67" s="131"/>
      <c r="AR67" s="131"/>
      <c r="AS67" s="131"/>
      <c r="AT67" s="131"/>
      <c r="AU67" s="131"/>
      <c r="AV67" s="131"/>
      <c r="AW67" s="131"/>
      <c r="AX67" s="131"/>
      <c r="AY67" s="131"/>
      <c r="AZ67" s="131"/>
      <c r="BA67" s="131"/>
      <c r="BB67" s="131"/>
      <c r="BC67" s="131"/>
      <c r="BD67" s="348"/>
      <c r="BE67" s="348"/>
      <c r="BF67" s="348"/>
      <c r="BG67" s="348"/>
      <c r="BH67" s="144"/>
      <c r="BI67" s="136"/>
      <c r="BJ67" s="136"/>
      <c r="BK67" s="349"/>
      <c r="BL67" s="349"/>
      <c r="BM67" s="349"/>
      <c r="BN67" s="349"/>
      <c r="BO67" s="349"/>
      <c r="BP67" s="145"/>
      <c r="CE67" s="118"/>
      <c r="CF67" s="118"/>
      <c r="CG67" s="118"/>
      <c r="CH67" s="46"/>
    </row>
    <row r="68" spans="1:86" s="44" customFormat="1" ht="47.25" x14ac:dyDescent="0.25">
      <c r="A68" s="32">
        <f>Psychologia!A68</f>
        <v>47</v>
      </c>
      <c r="B68" s="127" t="str">
        <f>IF(Psychologia!B68&gt;0,Psychologia!B68," ")</f>
        <v xml:space="preserve"> </v>
      </c>
      <c r="C68" s="128" t="str">
        <f>IF(Psychologia!C68&gt;0,Psychologia!C68," ")</f>
        <v>2026/2027</v>
      </c>
      <c r="D68" s="128" t="str">
        <f>IF(Psychologia!D68&gt;0,Psychologia!D68," ")</f>
        <v xml:space="preserve"> </v>
      </c>
      <c r="E68" s="127">
        <f>IF(Psychologia!E68&gt;0,Psychologia!E68," ")</f>
        <v>3</v>
      </c>
      <c r="F68" s="32" t="str">
        <f>IF(Psychologia!F68&gt;0,Psychologia!F68," ")</f>
        <v>2028/2029</v>
      </c>
      <c r="G68" s="32" t="str">
        <f>IF(Psychologia!G68&gt;0,Psychologia!G68," ")</f>
        <v>POW</v>
      </c>
      <c r="H68" s="122" t="str">
        <f>IF(Psychologia!H68&gt;0,Psychologia!H68," ")</f>
        <v xml:space="preserve"> </v>
      </c>
      <c r="I68" s="599" t="str">
        <f>IF(Psychologia!I68&gt;0,Psychologia!I68," ")</f>
        <v>Przedmiot fakultatywny 5: Zaburzenia neurorozwojowe / Psychologia kryminalna</v>
      </c>
      <c r="J68" s="365">
        <f>Psychologia!Y68+Psychologia!AV68</f>
        <v>50</v>
      </c>
      <c r="K68" s="366">
        <f>Psychologia!AS68+Psychologia!BP68</f>
        <v>10</v>
      </c>
      <c r="L68" s="367">
        <f>Psychologia!Z68+Psychologia!AW68</f>
        <v>40</v>
      </c>
      <c r="M68" s="368">
        <f>Psychologia!AB68+Psychologia!AD68+Psychologia!AY68+Psychologia!BA68</f>
        <v>0</v>
      </c>
      <c r="N68" s="369">
        <f>Psychologia!AA68+Psychologia!AX68</f>
        <v>40</v>
      </c>
      <c r="O68" s="370">
        <f>Psychologia!X68+Psychologia!AU68</f>
        <v>2</v>
      </c>
      <c r="P68" s="371" t="str">
        <f>IF(Psychologia!V68&gt;0,Psychologia!V68," ")</f>
        <v>zal/o</v>
      </c>
      <c r="Q68" s="150">
        <f t="shared" si="13"/>
        <v>0</v>
      </c>
      <c r="R68" s="135">
        <f t="shared" si="15"/>
        <v>0</v>
      </c>
      <c r="S68" s="161">
        <f t="shared" si="14"/>
        <v>0</v>
      </c>
      <c r="T68" s="132"/>
      <c r="U68" s="131"/>
      <c r="V68" s="131"/>
      <c r="W68" s="131"/>
      <c r="X68" s="131"/>
      <c r="Y68" s="131"/>
      <c r="Z68" s="131"/>
      <c r="AA68" s="131"/>
      <c r="AB68" s="131"/>
      <c r="AC68" s="131"/>
      <c r="AD68" s="131"/>
      <c r="AE68" s="131"/>
      <c r="AF68" s="132"/>
      <c r="AG68" s="131"/>
      <c r="AH68" s="131"/>
      <c r="AI68" s="131"/>
      <c r="AJ68" s="131"/>
      <c r="AK68" s="131"/>
      <c r="AL68" s="131"/>
      <c r="AM68" s="131"/>
      <c r="AN68" s="131"/>
      <c r="AO68" s="131"/>
      <c r="AP68" s="131"/>
      <c r="AQ68" s="131"/>
      <c r="AR68" s="131"/>
      <c r="AS68" s="131"/>
      <c r="AT68" s="131"/>
      <c r="AU68" s="131"/>
      <c r="AV68" s="131"/>
      <c r="AW68" s="131"/>
      <c r="AX68" s="131"/>
      <c r="AY68" s="131"/>
      <c r="AZ68" s="131"/>
      <c r="BA68" s="131"/>
      <c r="BB68" s="131"/>
      <c r="BC68" s="131"/>
      <c r="BD68" s="348"/>
      <c r="BE68" s="348"/>
      <c r="BF68" s="348"/>
      <c r="BG68" s="348"/>
      <c r="BH68" s="144"/>
      <c r="BI68" s="136"/>
      <c r="BJ68" s="136"/>
      <c r="BK68" s="349"/>
      <c r="BL68" s="349"/>
      <c r="BM68" s="349"/>
      <c r="BN68" s="349"/>
      <c r="BO68" s="349"/>
      <c r="BP68" s="145"/>
      <c r="CE68" s="118"/>
      <c r="CF68" s="118"/>
      <c r="CG68" s="118"/>
      <c r="CH68" s="46"/>
    </row>
    <row r="69" spans="1:86" s="44" customFormat="1" ht="63" x14ac:dyDescent="0.25">
      <c r="A69" s="32">
        <f>Psychologia!A69</f>
        <v>48</v>
      </c>
      <c r="B69" s="127" t="str">
        <f>IF(Psychologia!B69&gt;0,Psychologia!B69," ")</f>
        <v xml:space="preserve"> </v>
      </c>
      <c r="C69" s="128" t="str">
        <f>IF(Psychologia!C69&gt;0,Psychologia!C69," ")</f>
        <v>2026/2027</v>
      </c>
      <c r="D69" s="128" t="str">
        <f>IF(Psychologia!D69&gt;0,Psychologia!D69," ")</f>
        <v xml:space="preserve"> </v>
      </c>
      <c r="E69" s="127">
        <f>IF(Psychologia!E69&gt;0,Psychologia!E69," ")</f>
        <v>3</v>
      </c>
      <c r="F69" s="32" t="str">
        <f>IF(Psychologia!F69&gt;0,Psychologia!F69," ")</f>
        <v>2028/2029</v>
      </c>
      <c r="G69" s="32" t="str">
        <f>IF(Psychologia!G69&gt;0,Psychologia!G69," ")</f>
        <v>POW</v>
      </c>
      <c r="H69" s="122" t="str">
        <f>IF(Psychologia!H69&gt;0,Psychologia!H69," ")</f>
        <v xml:space="preserve"> </v>
      </c>
      <c r="I69" s="599" t="str">
        <f>IF(Psychologia!I69&gt;0,Psychologia!I69," ")</f>
        <v>Przedmiot fakultatywny 6: Podstawy uczenia maszynowego i sieci neuronowych / Psychologia człowieka w świecie AI</v>
      </c>
      <c r="J69" s="365">
        <f>Psychologia!Y69+Psychologia!AV69</f>
        <v>50</v>
      </c>
      <c r="K69" s="366">
        <f>Psychologia!AS69+Psychologia!BP69</f>
        <v>10</v>
      </c>
      <c r="L69" s="367">
        <f>Psychologia!Z69+Psychologia!AW69</f>
        <v>40</v>
      </c>
      <c r="M69" s="368">
        <f>Psychologia!AB69+Psychologia!AD69+Psychologia!AY69+Psychologia!BA69</f>
        <v>10</v>
      </c>
      <c r="N69" s="369">
        <f>Psychologia!AA69+Psychologia!AX69</f>
        <v>40</v>
      </c>
      <c r="O69" s="370">
        <f>Psychologia!X69+Psychologia!AU69</f>
        <v>2</v>
      </c>
      <c r="P69" s="371" t="str">
        <f>IF(Psychologia!V69&gt;0,Psychologia!V69," ")</f>
        <v>zal/o</v>
      </c>
      <c r="Q69" s="150">
        <f t="shared" si="13"/>
        <v>0</v>
      </c>
      <c r="R69" s="135">
        <f t="shared" ref="R69:R70" si="16">SUM(AF69:BG69)</f>
        <v>0</v>
      </c>
      <c r="S69" s="161">
        <f t="shared" si="14"/>
        <v>0</v>
      </c>
      <c r="T69" s="132"/>
      <c r="U69" s="131"/>
      <c r="V69" s="131"/>
      <c r="W69" s="131"/>
      <c r="X69" s="131"/>
      <c r="Y69" s="131"/>
      <c r="Z69" s="131"/>
      <c r="AA69" s="131"/>
      <c r="AB69" s="131"/>
      <c r="AC69" s="131"/>
      <c r="AD69" s="131"/>
      <c r="AE69" s="131"/>
      <c r="AF69" s="132"/>
      <c r="AG69" s="131"/>
      <c r="AH69" s="131"/>
      <c r="AI69" s="131"/>
      <c r="AJ69" s="131"/>
      <c r="AK69" s="131"/>
      <c r="AL69" s="131"/>
      <c r="AM69" s="131"/>
      <c r="AN69" s="131"/>
      <c r="AO69" s="131"/>
      <c r="AP69" s="131"/>
      <c r="AQ69" s="131"/>
      <c r="AR69" s="131"/>
      <c r="AS69" s="131"/>
      <c r="AT69" s="131"/>
      <c r="AU69" s="131"/>
      <c r="AV69" s="131"/>
      <c r="AW69" s="131"/>
      <c r="AX69" s="131"/>
      <c r="AY69" s="131"/>
      <c r="AZ69" s="131"/>
      <c r="BA69" s="131"/>
      <c r="BB69" s="131"/>
      <c r="BC69" s="131"/>
      <c r="BD69" s="348"/>
      <c r="BE69" s="348"/>
      <c r="BF69" s="348"/>
      <c r="BG69" s="348"/>
      <c r="BH69" s="144"/>
      <c r="BI69" s="136"/>
      <c r="BJ69" s="136"/>
      <c r="BK69" s="349"/>
      <c r="BL69" s="349"/>
      <c r="BM69" s="349"/>
      <c r="BN69" s="349"/>
      <c r="BO69" s="349"/>
      <c r="BP69" s="145"/>
      <c r="CE69" s="118"/>
      <c r="CF69" s="118"/>
      <c r="CG69" s="118"/>
      <c r="CH69" s="46"/>
    </row>
    <row r="70" spans="1:86" s="44" customFormat="1" ht="30" customHeight="1" x14ac:dyDescent="0.25">
      <c r="A70" s="32">
        <f>Psychologia!A70</f>
        <v>49</v>
      </c>
      <c r="B70" s="127" t="str">
        <f>IF(Psychologia!B70&gt;0,Psychologia!B70," ")</f>
        <v xml:space="preserve"> </v>
      </c>
      <c r="C70" s="128" t="str">
        <f>IF(Psychologia!C70&gt;0,Psychologia!C70," ")</f>
        <v>2026/2027</v>
      </c>
      <c r="D70" s="128" t="str">
        <f>IF(Psychologia!D70&gt;0,Psychologia!D70," ")</f>
        <v xml:space="preserve"> </v>
      </c>
      <c r="E70" s="127">
        <f>IF(Psychologia!E70&gt;0,Psychologia!E70," ")</f>
        <v>3</v>
      </c>
      <c r="F70" s="32" t="str">
        <f>IF(Psychologia!F70&gt;0,Psychologia!F70," ")</f>
        <v>2028/2029</v>
      </c>
      <c r="G70" s="32" t="str">
        <f>IF(Psychologia!G70&gt;0,Psychologia!G70," ")</f>
        <v>RPS</v>
      </c>
      <c r="H70" s="122" t="str">
        <f>IF(Psychologia!H70&gt;0,Psychologia!H70," ")</f>
        <v xml:space="preserve"> </v>
      </c>
      <c r="I70" s="122" t="str">
        <f>IF(Psychologia!I70&gt;0,Psychologia!I70," ")</f>
        <v>Psychologia kliniczna dorosłych</v>
      </c>
      <c r="J70" s="365">
        <f>Psychologia!Y70+Psychologia!AV70</f>
        <v>125</v>
      </c>
      <c r="K70" s="366">
        <f>Psychologia!AS70+Psychologia!BP70</f>
        <v>50</v>
      </c>
      <c r="L70" s="367">
        <f>Psychologia!Z70+Psychologia!AW70</f>
        <v>75</v>
      </c>
      <c r="M70" s="368">
        <f>Psychologia!AB70+Psychologia!AD70+Psychologia!AY70+Psychologia!BA70</f>
        <v>10</v>
      </c>
      <c r="N70" s="369">
        <f>Psychologia!AA70+Psychologia!AX70</f>
        <v>75</v>
      </c>
      <c r="O70" s="370">
        <f>Psychologia!X70+Psychologia!AU70</f>
        <v>5</v>
      </c>
      <c r="P70" s="371" t="str">
        <f>IF(Psychologia!V70&gt;0,Psychologia!V70," ")</f>
        <v>egz</v>
      </c>
      <c r="Q70" s="150">
        <f t="shared" si="13"/>
        <v>0</v>
      </c>
      <c r="R70" s="135">
        <f t="shared" si="16"/>
        <v>0</v>
      </c>
      <c r="S70" s="161">
        <f t="shared" si="14"/>
        <v>0</v>
      </c>
      <c r="T70" s="132"/>
      <c r="U70" s="131"/>
      <c r="V70" s="131"/>
      <c r="W70" s="131"/>
      <c r="X70" s="131"/>
      <c r="Y70" s="131"/>
      <c r="Z70" s="131"/>
      <c r="AA70" s="131"/>
      <c r="AB70" s="131"/>
      <c r="AC70" s="131"/>
      <c r="AD70" s="131"/>
      <c r="AE70" s="131"/>
      <c r="AF70" s="132"/>
      <c r="AG70" s="131"/>
      <c r="AH70" s="131"/>
      <c r="AI70" s="131"/>
      <c r="AJ70" s="131"/>
      <c r="AK70" s="131"/>
      <c r="AL70" s="131"/>
      <c r="AM70" s="131"/>
      <c r="AN70" s="131"/>
      <c r="AO70" s="131"/>
      <c r="AP70" s="131"/>
      <c r="AQ70" s="131"/>
      <c r="AR70" s="131"/>
      <c r="AS70" s="131"/>
      <c r="AT70" s="131"/>
      <c r="AU70" s="131"/>
      <c r="AV70" s="131"/>
      <c r="AW70" s="131"/>
      <c r="AX70" s="131"/>
      <c r="AY70" s="131"/>
      <c r="AZ70" s="131"/>
      <c r="BA70" s="131"/>
      <c r="BB70" s="131"/>
      <c r="BC70" s="131"/>
      <c r="BD70" s="348"/>
      <c r="BE70" s="348"/>
      <c r="BF70" s="348"/>
      <c r="BG70" s="348"/>
      <c r="BH70" s="144"/>
      <c r="BI70" s="136"/>
      <c r="BJ70" s="136"/>
      <c r="BK70" s="349"/>
      <c r="BL70" s="349"/>
      <c r="BM70" s="349"/>
      <c r="BN70" s="349"/>
      <c r="BO70" s="349"/>
      <c r="BP70" s="145"/>
      <c r="CE70" s="118"/>
      <c r="CF70" s="118"/>
      <c r="CG70" s="118"/>
      <c r="CH70" s="46"/>
    </row>
    <row r="71" spans="1:86" s="44" customFormat="1" ht="32.25" customHeight="1" x14ac:dyDescent="0.25">
      <c r="A71" s="32">
        <f>Psychologia!A71</f>
        <v>50</v>
      </c>
      <c r="B71" s="127" t="str">
        <f>IF(Psychologia!B71&gt;0,Psychologia!B71," ")</f>
        <v xml:space="preserve"> </v>
      </c>
      <c r="C71" s="128" t="str">
        <f>IF(Psychologia!C71&gt;0,Psychologia!C71," ")</f>
        <v>2026/2027</v>
      </c>
      <c r="D71" s="128" t="str">
        <f>IF(Psychologia!D71&gt;0,Psychologia!D71," ")</f>
        <v xml:space="preserve"> </v>
      </c>
      <c r="E71" s="127">
        <f>IF(Psychologia!E71&gt;0,Psychologia!E71," ")</f>
        <v>3</v>
      </c>
      <c r="F71" s="32" t="str">
        <f>IF(Psychologia!F71&gt;0,Psychologia!F71," ")</f>
        <v>2028/2029</v>
      </c>
      <c r="G71" s="32" t="str">
        <f>IF(Psychologia!G71&gt;0,Psychologia!G71," ")</f>
        <v>RPS</v>
      </c>
      <c r="H71" s="122" t="str">
        <f>IF(Psychologia!H71&gt;0,Psychologia!H71," ")</f>
        <v xml:space="preserve"> </v>
      </c>
      <c r="I71" s="122" t="str">
        <f>IF(Psychologia!I71&gt;0,Psychologia!I71," ")</f>
        <v>Psychologia kliniczna dzieci i młodzieży</v>
      </c>
      <c r="J71" s="365">
        <f>Psychologia!Y71+Psychologia!AV71</f>
        <v>125</v>
      </c>
      <c r="K71" s="366">
        <f>Psychologia!AS71+Psychologia!BP71</f>
        <v>55</v>
      </c>
      <c r="L71" s="367">
        <f>Psychologia!Z71+Psychologia!AW71</f>
        <v>70</v>
      </c>
      <c r="M71" s="368">
        <f>Psychologia!AB71+Psychologia!AD71+Psychologia!AY71+Psychologia!BA71</f>
        <v>10</v>
      </c>
      <c r="N71" s="369">
        <f>Psychologia!AA71+Psychologia!AX71</f>
        <v>70</v>
      </c>
      <c r="O71" s="370">
        <f>Psychologia!X71+Psychologia!AU71</f>
        <v>5</v>
      </c>
      <c r="P71" s="371" t="str">
        <f>IF(Psychologia!V71&gt;0,Psychologia!V71," ")</f>
        <v>egz</v>
      </c>
      <c r="Q71" s="150">
        <f t="shared" si="13"/>
        <v>0</v>
      </c>
      <c r="R71" s="135">
        <f t="shared" si="15"/>
        <v>0</v>
      </c>
      <c r="S71" s="161">
        <f t="shared" si="14"/>
        <v>0</v>
      </c>
      <c r="T71" s="132"/>
      <c r="U71" s="131"/>
      <c r="V71" s="131"/>
      <c r="W71" s="131"/>
      <c r="X71" s="131"/>
      <c r="Y71" s="131"/>
      <c r="Z71" s="131"/>
      <c r="AA71" s="131"/>
      <c r="AB71" s="131"/>
      <c r="AC71" s="131"/>
      <c r="AD71" s="131"/>
      <c r="AE71" s="131"/>
      <c r="AF71" s="132"/>
      <c r="AG71" s="131"/>
      <c r="AH71" s="131"/>
      <c r="AI71" s="131"/>
      <c r="AJ71" s="131"/>
      <c r="AK71" s="131"/>
      <c r="AL71" s="131"/>
      <c r="AM71" s="131"/>
      <c r="AN71" s="131"/>
      <c r="AO71" s="131"/>
      <c r="AP71" s="131"/>
      <c r="AQ71" s="131"/>
      <c r="AR71" s="131"/>
      <c r="AS71" s="131"/>
      <c r="AT71" s="131"/>
      <c r="AU71" s="131"/>
      <c r="AV71" s="131"/>
      <c r="AW71" s="131"/>
      <c r="AX71" s="131"/>
      <c r="AY71" s="131"/>
      <c r="AZ71" s="131"/>
      <c r="BA71" s="131"/>
      <c r="BB71" s="131"/>
      <c r="BC71" s="131"/>
      <c r="BD71" s="348"/>
      <c r="BE71" s="348"/>
      <c r="BF71" s="348"/>
      <c r="BG71" s="348"/>
      <c r="BH71" s="144"/>
      <c r="BI71" s="136"/>
      <c r="BJ71" s="136"/>
      <c r="BK71" s="349"/>
      <c r="BL71" s="349"/>
      <c r="BM71" s="349"/>
      <c r="BN71" s="349"/>
      <c r="BO71" s="349"/>
      <c r="BP71" s="145"/>
      <c r="CE71" s="118"/>
      <c r="CF71" s="118"/>
      <c r="CG71" s="118"/>
      <c r="CH71" s="46"/>
    </row>
    <row r="72" spans="1:86" s="44" customFormat="1" ht="32.25" customHeight="1" x14ac:dyDescent="0.25">
      <c r="A72" s="32">
        <f>Psychologia!A72</f>
        <v>51</v>
      </c>
      <c r="B72" s="127" t="str">
        <f>IF(Psychologia!B72&gt;0,Psychologia!B72," ")</f>
        <v xml:space="preserve"> </v>
      </c>
      <c r="C72" s="128" t="str">
        <f>IF(Psychologia!C72&gt;0,Psychologia!C72," ")</f>
        <v>2026/2027</v>
      </c>
      <c r="D72" s="128" t="str">
        <f>IF(Psychologia!D72&gt;0,Psychologia!D72," ")</f>
        <v xml:space="preserve"> </v>
      </c>
      <c r="E72" s="127">
        <f>IF(Psychologia!E72&gt;0,Psychologia!E72," ")</f>
        <v>3</v>
      </c>
      <c r="F72" s="32" t="str">
        <f>IF(Psychologia!F72&gt;0,Psychologia!F72," ")</f>
        <v>2028/2029</v>
      </c>
      <c r="G72" s="32" t="str">
        <f>IF(Psychologia!G72&gt;0,Psychologia!G72," ")</f>
        <v>RPS</v>
      </c>
      <c r="H72" s="122" t="str">
        <f>IF(Psychologia!H72&gt;0,Psychologia!H72," ")</f>
        <v xml:space="preserve"> </v>
      </c>
      <c r="I72" s="122" t="str">
        <f>IF(Psychologia!I72&gt;0,Psychologia!I72," ")</f>
        <v>Psychologia środowiska</v>
      </c>
      <c r="J72" s="365">
        <f>Psychologia!Y72+Psychologia!AV72</f>
        <v>25</v>
      </c>
      <c r="K72" s="366">
        <f>Psychologia!AS72+Psychologia!BP72</f>
        <v>5</v>
      </c>
      <c r="L72" s="367">
        <f>Psychologia!Z72+Psychologia!AW72</f>
        <v>20</v>
      </c>
      <c r="M72" s="368">
        <f>Psychologia!AB72+Psychologia!AD72+Psychologia!AY72+Psychologia!BA72</f>
        <v>10</v>
      </c>
      <c r="N72" s="369">
        <f>Psychologia!AA72+Psychologia!AX72</f>
        <v>20</v>
      </c>
      <c r="O72" s="370">
        <f>Psychologia!X72+Psychologia!AU72</f>
        <v>1</v>
      </c>
      <c r="P72" s="371" t="str">
        <f>IF(Psychologia!V72&gt;0,Psychologia!V72," ")</f>
        <v>zal/o</v>
      </c>
      <c r="Q72" s="150">
        <f t="shared" si="13"/>
        <v>0</v>
      </c>
      <c r="R72" s="135">
        <f t="shared" si="15"/>
        <v>0</v>
      </c>
      <c r="S72" s="161">
        <f t="shared" si="14"/>
        <v>0</v>
      </c>
      <c r="T72" s="132"/>
      <c r="U72" s="131"/>
      <c r="V72" s="131"/>
      <c r="W72" s="131"/>
      <c r="X72" s="131"/>
      <c r="Y72" s="131"/>
      <c r="Z72" s="131"/>
      <c r="AA72" s="131"/>
      <c r="AB72" s="131"/>
      <c r="AC72" s="131"/>
      <c r="AD72" s="131"/>
      <c r="AE72" s="131"/>
      <c r="AF72" s="132"/>
      <c r="AG72" s="131"/>
      <c r="AH72" s="131"/>
      <c r="AI72" s="131"/>
      <c r="AJ72" s="131"/>
      <c r="AK72" s="131"/>
      <c r="AL72" s="131"/>
      <c r="AM72" s="131"/>
      <c r="AN72" s="131"/>
      <c r="AO72" s="131"/>
      <c r="AP72" s="131"/>
      <c r="AQ72" s="131"/>
      <c r="AR72" s="131"/>
      <c r="AS72" s="131"/>
      <c r="AT72" s="131"/>
      <c r="AU72" s="131"/>
      <c r="AV72" s="131"/>
      <c r="AW72" s="131"/>
      <c r="AX72" s="131"/>
      <c r="AY72" s="131"/>
      <c r="AZ72" s="131"/>
      <c r="BA72" s="131"/>
      <c r="BB72" s="131"/>
      <c r="BC72" s="131"/>
      <c r="BD72" s="348"/>
      <c r="BE72" s="348"/>
      <c r="BF72" s="348"/>
      <c r="BG72" s="348"/>
      <c r="BH72" s="144"/>
      <c r="BI72" s="136"/>
      <c r="BJ72" s="136"/>
      <c r="BK72" s="349"/>
      <c r="BL72" s="349"/>
      <c r="BM72" s="349"/>
      <c r="BN72" s="349"/>
      <c r="BO72" s="349"/>
      <c r="BP72" s="145"/>
      <c r="CE72" s="118"/>
      <c r="CF72" s="118"/>
      <c r="CG72" s="118"/>
      <c r="CH72" s="46"/>
    </row>
    <row r="73" spans="1:86" s="44" customFormat="1" ht="32.25" customHeight="1" x14ac:dyDescent="0.25">
      <c r="A73" s="32">
        <f>Psychologia!A73</f>
        <v>52</v>
      </c>
      <c r="B73" s="127" t="str">
        <f>IF(Psychologia!B73&gt;0,Psychologia!B73," ")</f>
        <v xml:space="preserve"> </v>
      </c>
      <c r="C73" s="128" t="str">
        <f>IF(Psychologia!C73&gt;0,Psychologia!C73," ")</f>
        <v>2026/2027</v>
      </c>
      <c r="D73" s="128" t="str">
        <f>IF(Psychologia!D73&gt;0,Psychologia!D73," ")</f>
        <v xml:space="preserve"> </v>
      </c>
      <c r="E73" s="127">
        <f>IF(Psychologia!E73&gt;0,Psychologia!E73," ")</f>
        <v>3</v>
      </c>
      <c r="F73" s="32" t="str">
        <f>IF(Psychologia!F73&gt;0,Psychologia!F73," ")</f>
        <v>2028/2029</v>
      </c>
      <c r="G73" s="32" t="str">
        <f>IF(Psychologia!G73&gt;0,Psychologia!G73," ")</f>
        <v>RPS</v>
      </c>
      <c r="H73" s="122" t="str">
        <f>IF(Psychologia!H73&gt;0,Psychologia!H73," ")</f>
        <v xml:space="preserve"> </v>
      </c>
      <c r="I73" s="122" t="str">
        <f>IF(Psychologia!I73&gt;0,Psychologia!I73," ")</f>
        <v>Psychologia zarządzania</v>
      </c>
      <c r="J73" s="365">
        <f>Psychologia!Y73+Psychologia!AV73</f>
        <v>25</v>
      </c>
      <c r="K73" s="366">
        <f>Psychologia!AS73+Psychologia!BP73</f>
        <v>15</v>
      </c>
      <c r="L73" s="367">
        <f>Psychologia!Z73+Psychologia!AW73</f>
        <v>10</v>
      </c>
      <c r="M73" s="368">
        <f>Psychologia!AB73+Psychologia!AD73+Psychologia!AY73+Psychologia!BA73</f>
        <v>10</v>
      </c>
      <c r="N73" s="369">
        <f>Psychologia!AA73+Psychologia!AX73</f>
        <v>10</v>
      </c>
      <c r="O73" s="370">
        <f>Psychologia!X73+Psychologia!AU73</f>
        <v>1</v>
      </c>
      <c r="P73" s="371" t="str">
        <f>IF(Psychologia!V73&gt;0,Psychologia!V73," ")</f>
        <v>zal/o</v>
      </c>
      <c r="Q73" s="150">
        <f t="shared" si="13"/>
        <v>0</v>
      </c>
      <c r="R73" s="135">
        <f t="shared" si="15"/>
        <v>0</v>
      </c>
      <c r="S73" s="161">
        <f t="shared" si="14"/>
        <v>0</v>
      </c>
      <c r="T73" s="132"/>
      <c r="U73" s="131"/>
      <c r="V73" s="131"/>
      <c r="W73" s="131"/>
      <c r="X73" s="131"/>
      <c r="Y73" s="131"/>
      <c r="Z73" s="131"/>
      <c r="AA73" s="131"/>
      <c r="AB73" s="131"/>
      <c r="AC73" s="131"/>
      <c r="AD73" s="131"/>
      <c r="AE73" s="131"/>
      <c r="AF73" s="132"/>
      <c r="AG73" s="131"/>
      <c r="AH73" s="131"/>
      <c r="AI73" s="131"/>
      <c r="AJ73" s="131"/>
      <c r="AK73" s="131"/>
      <c r="AL73" s="131"/>
      <c r="AM73" s="131"/>
      <c r="AN73" s="131"/>
      <c r="AO73" s="131"/>
      <c r="AP73" s="131"/>
      <c r="AQ73" s="131"/>
      <c r="AR73" s="131"/>
      <c r="AS73" s="131"/>
      <c r="AT73" s="131"/>
      <c r="AU73" s="131"/>
      <c r="AV73" s="131"/>
      <c r="AW73" s="131"/>
      <c r="AX73" s="131"/>
      <c r="AY73" s="131"/>
      <c r="AZ73" s="131"/>
      <c r="BA73" s="131"/>
      <c r="BB73" s="131"/>
      <c r="BC73" s="131"/>
      <c r="BD73" s="348"/>
      <c r="BE73" s="348"/>
      <c r="BF73" s="348"/>
      <c r="BG73" s="348"/>
      <c r="BH73" s="144"/>
      <c r="BI73" s="136"/>
      <c r="BJ73" s="136"/>
      <c r="BK73" s="349"/>
      <c r="BL73" s="349"/>
      <c r="BM73" s="349"/>
      <c r="BN73" s="349"/>
      <c r="BO73" s="349"/>
      <c r="BP73" s="145"/>
      <c r="CE73" s="118"/>
      <c r="CF73" s="118"/>
      <c r="CG73" s="118"/>
      <c r="CH73" s="46"/>
    </row>
    <row r="74" spans="1:86" s="44" customFormat="1" ht="32.25" customHeight="1" x14ac:dyDescent="0.25">
      <c r="A74" s="32">
        <f>Psychologia!A74</f>
        <v>53</v>
      </c>
      <c r="B74" s="127" t="str">
        <f>IF(Psychologia!B74&gt;0,Psychologia!B74," ")</f>
        <v xml:space="preserve"> </v>
      </c>
      <c r="C74" s="128" t="str">
        <f>IF(Psychologia!C74&gt;0,Psychologia!C74," ")</f>
        <v>2026/2027</v>
      </c>
      <c r="D74" s="128" t="str">
        <f>IF(Psychologia!D74&gt;0,Psychologia!D74," ")</f>
        <v xml:space="preserve"> </v>
      </c>
      <c r="E74" s="127">
        <f>IF(Psychologia!E74&gt;0,Psychologia!E74," ")</f>
        <v>3</v>
      </c>
      <c r="F74" s="32" t="str">
        <f>IF(Psychologia!F74&gt;0,Psychologia!F74," ")</f>
        <v>2028/2029</v>
      </c>
      <c r="G74" s="32" t="str">
        <f>IF(Psychologia!G74&gt;0,Psychologia!G74," ")</f>
        <v>RPS</v>
      </c>
      <c r="H74" s="122" t="str">
        <f>IF(Psychologia!H74&gt;0,Psychologia!H74," ")</f>
        <v xml:space="preserve"> </v>
      </c>
      <c r="I74" s="122" t="str">
        <f>IF(Psychologia!I74&gt;0,Psychologia!I74," ")</f>
        <v>Psychologia zdrowia</v>
      </c>
      <c r="J74" s="365">
        <f>Psychologia!Y74+Psychologia!AV74</f>
        <v>100</v>
      </c>
      <c r="K74" s="366">
        <f>Psychologia!AS74+Psychologia!BP74</f>
        <v>30</v>
      </c>
      <c r="L74" s="367">
        <f>Psychologia!Z74+Psychologia!AW74</f>
        <v>70</v>
      </c>
      <c r="M74" s="368">
        <f>Psychologia!AB74+Psychologia!AD74+Psychologia!AY74+Psychologia!BA74</f>
        <v>10</v>
      </c>
      <c r="N74" s="369">
        <f>Psychologia!AA74+Psychologia!AX74</f>
        <v>70</v>
      </c>
      <c r="O74" s="370">
        <f>Psychologia!X74+Psychologia!AU74</f>
        <v>4</v>
      </c>
      <c r="P74" s="371" t="str">
        <f>IF(Psychologia!V74&gt;0,Psychologia!V74," ")</f>
        <v>egz</v>
      </c>
      <c r="Q74" s="150">
        <f t="shared" si="13"/>
        <v>0</v>
      </c>
      <c r="R74" s="135">
        <f t="shared" si="15"/>
        <v>0</v>
      </c>
      <c r="S74" s="161">
        <f t="shared" si="14"/>
        <v>0</v>
      </c>
      <c r="T74" s="132"/>
      <c r="U74" s="131"/>
      <c r="V74" s="131"/>
      <c r="W74" s="131"/>
      <c r="X74" s="131"/>
      <c r="Y74" s="131"/>
      <c r="Z74" s="131"/>
      <c r="AA74" s="131"/>
      <c r="AB74" s="131"/>
      <c r="AC74" s="131"/>
      <c r="AD74" s="131"/>
      <c r="AE74" s="131"/>
      <c r="AF74" s="132"/>
      <c r="AG74" s="131"/>
      <c r="AH74" s="131"/>
      <c r="AI74" s="131"/>
      <c r="AJ74" s="131"/>
      <c r="AK74" s="131"/>
      <c r="AL74" s="131"/>
      <c r="AM74" s="131"/>
      <c r="AN74" s="131"/>
      <c r="AO74" s="131"/>
      <c r="AP74" s="131"/>
      <c r="AQ74" s="131"/>
      <c r="AR74" s="131"/>
      <c r="AS74" s="131"/>
      <c r="AT74" s="131"/>
      <c r="AU74" s="131"/>
      <c r="AV74" s="131"/>
      <c r="AW74" s="131"/>
      <c r="AX74" s="131"/>
      <c r="AY74" s="131"/>
      <c r="AZ74" s="131"/>
      <c r="BA74" s="131"/>
      <c r="BB74" s="131"/>
      <c r="BC74" s="131"/>
      <c r="BD74" s="348"/>
      <c r="BE74" s="348"/>
      <c r="BF74" s="348"/>
      <c r="BG74" s="348"/>
      <c r="BH74" s="144"/>
      <c r="BI74" s="136"/>
      <c r="BJ74" s="136"/>
      <c r="BK74" s="349"/>
      <c r="BL74" s="349"/>
      <c r="BM74" s="349"/>
      <c r="BN74" s="349"/>
      <c r="BO74" s="349"/>
      <c r="BP74" s="145"/>
      <c r="CE74" s="118"/>
      <c r="CF74" s="118"/>
      <c r="CG74" s="118"/>
      <c r="CH74" s="46"/>
    </row>
    <row r="75" spans="1:86" s="44" customFormat="1" ht="32.25" customHeight="1" x14ac:dyDescent="0.25">
      <c r="A75" s="32">
        <f>Psychologia!A75</f>
        <v>54</v>
      </c>
      <c r="B75" s="127" t="str">
        <f>IF(Psychologia!B75&gt;0,Psychologia!B75," ")</f>
        <v xml:space="preserve"> </v>
      </c>
      <c r="C75" s="128" t="str">
        <f>IF(Psychologia!C75&gt;0,Psychologia!C75," ")</f>
        <v>2026/2027</v>
      </c>
      <c r="D75" s="128" t="str">
        <f>IF(Psychologia!D75&gt;0,Psychologia!D75," ")</f>
        <v xml:space="preserve"> </v>
      </c>
      <c r="E75" s="127">
        <f>IF(Psychologia!E75&gt;0,Psychologia!E75," ")</f>
        <v>3</v>
      </c>
      <c r="F75" s="32" t="str">
        <f>IF(Psychologia!F75&gt;0,Psychologia!F75," ")</f>
        <v>2028/2029</v>
      </c>
      <c r="G75" s="32" t="str">
        <f>IF(Psychologia!G75&gt;0,Psychologia!G75," ")</f>
        <v>RPS</v>
      </c>
      <c r="H75" s="122" t="str">
        <f>IF(Psychologia!H75&gt;0,Psychologia!H75," ")</f>
        <v xml:space="preserve"> </v>
      </c>
      <c r="I75" s="122" t="str">
        <f>IF(Psychologia!I75&gt;0,Psychologia!I75," ")</f>
        <v>Psychometria</v>
      </c>
      <c r="J75" s="365">
        <f>Psychologia!Y75+Psychologia!AV75</f>
        <v>100</v>
      </c>
      <c r="K75" s="366">
        <f>Psychologia!AS75+Psychologia!BP75</f>
        <v>30</v>
      </c>
      <c r="L75" s="367">
        <f>Psychologia!Z75+Psychologia!AW75</f>
        <v>70</v>
      </c>
      <c r="M75" s="368">
        <f>Psychologia!AB75+Psychologia!AD75+Psychologia!AY75+Psychologia!BA75</f>
        <v>10</v>
      </c>
      <c r="N75" s="369">
        <f>Psychologia!AA75+Psychologia!AX75</f>
        <v>70</v>
      </c>
      <c r="O75" s="370">
        <f>Psychologia!X75+Psychologia!AU75</f>
        <v>4</v>
      </c>
      <c r="P75" s="371" t="str">
        <f>IF(Psychologia!V75&gt;0,Psychologia!V75," ")</f>
        <v>egz</v>
      </c>
      <c r="Q75" s="150">
        <f t="shared" si="13"/>
        <v>0</v>
      </c>
      <c r="R75" s="135">
        <f t="shared" si="15"/>
        <v>0</v>
      </c>
      <c r="S75" s="161">
        <f t="shared" si="14"/>
        <v>0</v>
      </c>
      <c r="T75" s="132"/>
      <c r="U75" s="131"/>
      <c r="V75" s="131"/>
      <c r="W75" s="131"/>
      <c r="X75" s="131"/>
      <c r="Y75" s="131"/>
      <c r="Z75" s="131"/>
      <c r="AA75" s="131"/>
      <c r="AB75" s="131"/>
      <c r="AC75" s="131"/>
      <c r="AD75" s="131"/>
      <c r="AE75" s="131"/>
      <c r="AF75" s="132"/>
      <c r="AG75" s="131"/>
      <c r="AH75" s="131"/>
      <c r="AI75" s="131"/>
      <c r="AJ75" s="131"/>
      <c r="AK75" s="131"/>
      <c r="AL75" s="131"/>
      <c r="AM75" s="131"/>
      <c r="AN75" s="131"/>
      <c r="AO75" s="131"/>
      <c r="AP75" s="131"/>
      <c r="AQ75" s="131"/>
      <c r="AR75" s="131"/>
      <c r="AS75" s="131"/>
      <c r="AT75" s="131"/>
      <c r="AU75" s="131"/>
      <c r="AV75" s="131"/>
      <c r="AW75" s="131"/>
      <c r="AX75" s="131"/>
      <c r="AY75" s="131"/>
      <c r="AZ75" s="131"/>
      <c r="BA75" s="131"/>
      <c r="BB75" s="131"/>
      <c r="BC75" s="131"/>
      <c r="BD75" s="348"/>
      <c r="BE75" s="348"/>
      <c r="BF75" s="348"/>
      <c r="BG75" s="348"/>
      <c r="BH75" s="144"/>
      <c r="BI75" s="136"/>
      <c r="BJ75" s="136"/>
      <c r="BK75" s="349"/>
      <c r="BL75" s="349"/>
      <c r="BM75" s="349"/>
      <c r="BN75" s="349"/>
      <c r="BO75" s="349"/>
      <c r="BP75" s="145"/>
      <c r="CE75" s="118"/>
      <c r="CF75" s="118"/>
      <c r="CG75" s="118"/>
      <c r="CH75" s="46"/>
    </row>
    <row r="76" spans="1:86" s="44" customFormat="1" ht="32.25" customHeight="1" x14ac:dyDescent="0.25">
      <c r="A76" s="32">
        <f>Psychologia!A76</f>
        <v>55</v>
      </c>
      <c r="B76" s="127" t="str">
        <f>IF(Psychologia!B76&gt;0,Psychologia!B76," ")</f>
        <v xml:space="preserve"> </v>
      </c>
      <c r="C76" s="128" t="str">
        <f>IF(Psychologia!C76&gt;0,Psychologia!C76," ")</f>
        <v>2026/2027</v>
      </c>
      <c r="D76" s="128" t="str">
        <f>IF(Psychologia!D76&gt;0,Psychologia!D76," ")</f>
        <v xml:space="preserve"> </v>
      </c>
      <c r="E76" s="127">
        <f>IF(Psychologia!E76&gt;0,Psychologia!E76," ")</f>
        <v>3</v>
      </c>
      <c r="F76" s="32" t="str">
        <f>IF(Psychologia!F76&gt;0,Psychologia!F76," ")</f>
        <v>2028/2029</v>
      </c>
      <c r="G76" s="32" t="str">
        <f>IF(Psychologia!G76&gt;0,Psychologia!G76," ")</f>
        <v>RPS</v>
      </c>
      <c r="H76" s="122" t="str">
        <f>IF(Psychologia!H76&gt;0,Psychologia!H76," ")</f>
        <v xml:space="preserve"> </v>
      </c>
      <c r="I76" s="122" t="str">
        <f>IF(Psychologia!I76&gt;0,Psychologia!I76," ")</f>
        <v>Psychopatologia</v>
      </c>
      <c r="J76" s="365">
        <f>Psychologia!Y76+Psychologia!AV76</f>
        <v>100</v>
      </c>
      <c r="K76" s="366">
        <f>Psychologia!AS76+Psychologia!BP76</f>
        <v>25</v>
      </c>
      <c r="L76" s="367">
        <f>Psychologia!Z76+Psychologia!AW76</f>
        <v>75</v>
      </c>
      <c r="M76" s="368">
        <f>Psychologia!AB76+Psychologia!AD76+Psychologia!AY76+Psychologia!BA76</f>
        <v>10</v>
      </c>
      <c r="N76" s="369">
        <f>Psychologia!AA76+Psychologia!AX76</f>
        <v>75</v>
      </c>
      <c r="O76" s="370">
        <f>Psychologia!X76+Psychologia!AU76</f>
        <v>4</v>
      </c>
      <c r="P76" s="371" t="str">
        <f>IF(Psychologia!V76&gt;0,Psychologia!V76," ")</f>
        <v>egz</v>
      </c>
      <c r="Q76" s="150">
        <f t="shared" si="13"/>
        <v>0</v>
      </c>
      <c r="R76" s="135">
        <f t="shared" si="15"/>
        <v>0</v>
      </c>
      <c r="S76" s="161">
        <f t="shared" si="14"/>
        <v>0</v>
      </c>
      <c r="T76" s="132"/>
      <c r="U76" s="131"/>
      <c r="V76" s="131"/>
      <c r="W76" s="131"/>
      <c r="X76" s="131"/>
      <c r="Y76" s="131"/>
      <c r="Z76" s="131"/>
      <c r="AA76" s="131"/>
      <c r="AB76" s="131"/>
      <c r="AC76" s="131"/>
      <c r="AD76" s="131"/>
      <c r="AE76" s="131"/>
      <c r="AF76" s="132"/>
      <c r="AG76" s="131"/>
      <c r="AH76" s="131"/>
      <c r="AI76" s="131"/>
      <c r="AJ76" s="131"/>
      <c r="AK76" s="131"/>
      <c r="AL76" s="131"/>
      <c r="AM76" s="131"/>
      <c r="AN76" s="131"/>
      <c r="AO76" s="131"/>
      <c r="AP76" s="131"/>
      <c r="AQ76" s="131"/>
      <c r="AR76" s="131"/>
      <c r="AS76" s="131"/>
      <c r="AT76" s="131"/>
      <c r="AU76" s="131"/>
      <c r="AV76" s="131"/>
      <c r="AW76" s="131"/>
      <c r="AX76" s="131"/>
      <c r="AY76" s="131"/>
      <c r="AZ76" s="131"/>
      <c r="BA76" s="131"/>
      <c r="BB76" s="131"/>
      <c r="BC76" s="131"/>
      <c r="BD76" s="348"/>
      <c r="BE76" s="348"/>
      <c r="BF76" s="348"/>
      <c r="BG76" s="348"/>
      <c r="BH76" s="144"/>
      <c r="BI76" s="136"/>
      <c r="BJ76" s="136"/>
      <c r="BK76" s="349"/>
      <c r="BL76" s="349"/>
      <c r="BM76" s="349"/>
      <c r="BN76" s="349"/>
      <c r="BO76" s="349"/>
      <c r="BP76" s="145"/>
      <c r="CE76" s="118"/>
      <c r="CF76" s="118"/>
      <c r="CG76" s="118"/>
      <c r="CH76" s="46"/>
    </row>
    <row r="77" spans="1:86" s="44" customFormat="1" ht="32.25" customHeight="1" x14ac:dyDescent="0.25">
      <c r="A77" s="32">
        <f>Psychologia!A77</f>
        <v>56</v>
      </c>
      <c r="B77" s="127" t="str">
        <f>IF(Psychologia!B77&gt;0,Psychologia!B77," ")</f>
        <v xml:space="preserve"> </v>
      </c>
      <c r="C77" s="128" t="str">
        <f>IF(Psychologia!C77&gt;0,Psychologia!C77," ")</f>
        <v>2026/2027</v>
      </c>
      <c r="D77" s="128" t="str">
        <f>IF(Psychologia!D77&gt;0,Psychologia!D77," ")</f>
        <v xml:space="preserve"> </v>
      </c>
      <c r="E77" s="127">
        <f>IF(Psychologia!E77&gt;0,Psychologia!E77," ")</f>
        <v>3</v>
      </c>
      <c r="F77" s="32" t="str">
        <f>IF(Psychologia!F77&gt;0,Psychologia!F77," ")</f>
        <v>2028/2029</v>
      </c>
      <c r="G77" s="32" t="str">
        <f>IF(Psychologia!G77&gt;0,Psychologia!G77," ")</f>
        <v>RPS</v>
      </c>
      <c r="H77" s="122" t="str">
        <f>IF(Psychologia!H77&gt;0,Psychologia!H77," ")</f>
        <v xml:space="preserve"> </v>
      </c>
      <c r="I77" s="122" t="str">
        <f>IF(Psychologia!I77&gt;0,Psychologia!I77," ")</f>
        <v>Statystyka I</v>
      </c>
      <c r="J77" s="365">
        <f>Psychologia!Y77+Psychologia!AV77</f>
        <v>38</v>
      </c>
      <c r="K77" s="366">
        <f>Psychologia!AS77+Psychologia!BP77</f>
        <v>3</v>
      </c>
      <c r="L77" s="367">
        <f>Psychologia!Z77+Psychologia!AW77</f>
        <v>35</v>
      </c>
      <c r="M77" s="368">
        <f>Psychologia!AB77+Psychologia!AD77+Psychologia!AY77+Psychologia!BA77</f>
        <v>5</v>
      </c>
      <c r="N77" s="369">
        <f>Psychologia!AA77+Psychologia!AX77</f>
        <v>35</v>
      </c>
      <c r="O77" s="370">
        <f>Psychologia!X77+Psychologia!AU77</f>
        <v>1.5</v>
      </c>
      <c r="P77" s="371" t="str">
        <f>IF(Psychologia!V77&gt;0,Psychologia!V77," ")</f>
        <v>zal/o</v>
      </c>
      <c r="Q77" s="150">
        <f t="shared" si="13"/>
        <v>0</v>
      </c>
      <c r="R77" s="135">
        <f t="shared" si="15"/>
        <v>0</v>
      </c>
      <c r="S77" s="161">
        <f t="shared" si="14"/>
        <v>0</v>
      </c>
      <c r="T77" s="132"/>
      <c r="U77" s="131"/>
      <c r="V77" s="131"/>
      <c r="W77" s="131"/>
      <c r="X77" s="131"/>
      <c r="Y77" s="131"/>
      <c r="Z77" s="131"/>
      <c r="AA77" s="131"/>
      <c r="AB77" s="131"/>
      <c r="AC77" s="131"/>
      <c r="AD77" s="131"/>
      <c r="AE77" s="131"/>
      <c r="AF77" s="132"/>
      <c r="AG77" s="131"/>
      <c r="AH77" s="131"/>
      <c r="AI77" s="131"/>
      <c r="AJ77" s="131"/>
      <c r="AK77" s="131"/>
      <c r="AL77" s="131"/>
      <c r="AM77" s="131"/>
      <c r="AN77" s="131"/>
      <c r="AO77" s="131"/>
      <c r="AP77" s="131"/>
      <c r="AQ77" s="131"/>
      <c r="AR77" s="131"/>
      <c r="AS77" s="131"/>
      <c r="AT77" s="131"/>
      <c r="AU77" s="131"/>
      <c r="AV77" s="131"/>
      <c r="AW77" s="131"/>
      <c r="AX77" s="131"/>
      <c r="AY77" s="131"/>
      <c r="AZ77" s="131"/>
      <c r="BA77" s="131"/>
      <c r="BB77" s="131"/>
      <c r="BC77" s="131"/>
      <c r="BD77" s="348"/>
      <c r="BE77" s="348"/>
      <c r="BF77" s="348"/>
      <c r="BG77" s="348"/>
      <c r="BH77" s="144"/>
      <c r="BI77" s="136"/>
      <c r="BJ77" s="136"/>
      <c r="BK77" s="349"/>
      <c r="BL77" s="349"/>
      <c r="BM77" s="349"/>
      <c r="BN77" s="349"/>
      <c r="BO77" s="349"/>
      <c r="BP77" s="145"/>
      <c r="CE77" s="118"/>
      <c r="CF77" s="118"/>
      <c r="CG77" s="118"/>
      <c r="CH77" s="46"/>
    </row>
    <row r="78" spans="1:86" s="44" customFormat="1" ht="32.25" customHeight="1" x14ac:dyDescent="0.25">
      <c r="A78" s="32">
        <f>Psychologia!A78</f>
        <v>57</v>
      </c>
      <c r="B78" s="127" t="str">
        <f>IF(Psychologia!B78&gt;0,Psychologia!B78," ")</f>
        <v xml:space="preserve"> </v>
      </c>
      <c r="C78" s="128" t="str">
        <f>IF(Psychologia!C78&gt;0,Psychologia!C78," ")</f>
        <v>2026/2027</v>
      </c>
      <c r="D78" s="128" t="str">
        <f>IF(Psychologia!D78&gt;0,Psychologia!D78," ")</f>
        <v xml:space="preserve"> </v>
      </c>
      <c r="E78" s="127">
        <f>IF(Psychologia!E78&gt;0,Psychologia!E78," ")</f>
        <v>3</v>
      </c>
      <c r="F78" s="32" t="str">
        <f>IF(Psychologia!F78&gt;0,Psychologia!F78," ")</f>
        <v>2028/2029</v>
      </c>
      <c r="G78" s="32" t="str">
        <f>IF(Psychologia!G78&gt;0,Psychologia!G78," ")</f>
        <v>RPS</v>
      </c>
      <c r="H78" s="122" t="str">
        <f>IF(Psychologia!H78&gt;0,Psychologia!H78," ")</f>
        <v xml:space="preserve"> </v>
      </c>
      <c r="I78" s="122" t="str">
        <f>IF(Psychologia!I78&gt;0,Psychologia!I78," ")</f>
        <v>Statystyka II</v>
      </c>
      <c r="J78" s="365">
        <f>Psychologia!Y78+Psychologia!AV78</f>
        <v>37</v>
      </c>
      <c r="K78" s="366">
        <f>Psychologia!AS78+Psychologia!BP78</f>
        <v>7</v>
      </c>
      <c r="L78" s="367">
        <f>Psychologia!Z78+Psychologia!AW78</f>
        <v>30</v>
      </c>
      <c r="M78" s="368">
        <f>Psychologia!AB78+Psychologia!AD78+Psychologia!AY78+Psychologia!BA78</f>
        <v>0</v>
      </c>
      <c r="N78" s="369">
        <f>Psychologia!AA78+Psychologia!AX78</f>
        <v>30</v>
      </c>
      <c r="O78" s="370">
        <f>Psychologia!X78+Psychologia!AU78</f>
        <v>1.5</v>
      </c>
      <c r="P78" s="371" t="str">
        <f>IF(Psychologia!V78&gt;0,Psychologia!V78," ")</f>
        <v>zal/o</v>
      </c>
      <c r="Q78" s="150">
        <f t="shared" si="13"/>
        <v>0</v>
      </c>
      <c r="R78" s="135">
        <f t="shared" ref="R78" si="17">SUM(AF78:BG78)</f>
        <v>0</v>
      </c>
      <c r="S78" s="161">
        <f t="shared" si="14"/>
        <v>0</v>
      </c>
      <c r="T78" s="132"/>
      <c r="U78" s="131"/>
      <c r="V78" s="131"/>
      <c r="W78" s="131"/>
      <c r="X78" s="131"/>
      <c r="Y78" s="131"/>
      <c r="Z78" s="131"/>
      <c r="AA78" s="131"/>
      <c r="AB78" s="131"/>
      <c r="AC78" s="131"/>
      <c r="AD78" s="131"/>
      <c r="AE78" s="131"/>
      <c r="AF78" s="132"/>
      <c r="AG78" s="131"/>
      <c r="AH78" s="131"/>
      <c r="AI78" s="131"/>
      <c r="AJ78" s="131"/>
      <c r="AK78" s="131"/>
      <c r="AL78" s="131"/>
      <c r="AM78" s="131"/>
      <c r="AN78" s="131"/>
      <c r="AO78" s="131"/>
      <c r="AP78" s="131"/>
      <c r="AQ78" s="131"/>
      <c r="AR78" s="131"/>
      <c r="AS78" s="131"/>
      <c r="AT78" s="131"/>
      <c r="AU78" s="131"/>
      <c r="AV78" s="131"/>
      <c r="AW78" s="131"/>
      <c r="AX78" s="131"/>
      <c r="AY78" s="131"/>
      <c r="AZ78" s="131"/>
      <c r="BA78" s="131"/>
      <c r="BB78" s="131"/>
      <c r="BC78" s="131"/>
      <c r="BD78" s="348"/>
      <c r="BE78" s="348"/>
      <c r="BF78" s="348"/>
      <c r="BG78" s="348"/>
      <c r="BH78" s="144"/>
      <c r="BI78" s="136"/>
      <c r="BJ78" s="136"/>
      <c r="BK78" s="349"/>
      <c r="BL78" s="349"/>
      <c r="BM78" s="349"/>
      <c r="BN78" s="349"/>
      <c r="BO78" s="349"/>
      <c r="BP78" s="145"/>
      <c r="CE78" s="118"/>
      <c r="CF78" s="118"/>
      <c r="CG78" s="118"/>
      <c r="CH78" s="46"/>
    </row>
    <row r="79" spans="1:86" s="44" customFormat="1" ht="32.25" customHeight="1" thickBot="1" x14ac:dyDescent="0.3">
      <c r="A79" s="56">
        <f>Psychologia!A79</f>
        <v>58</v>
      </c>
      <c r="B79" s="410" t="str">
        <f>IF(Psychologia!B79&gt;0,Psychologia!B79," ")</f>
        <v xml:space="preserve"> </v>
      </c>
      <c r="C79" s="361" t="str">
        <f>IF(Psychologia!C79&gt;0,Psychologia!C79," ")</f>
        <v>2026/2027</v>
      </c>
      <c r="D79" s="361" t="str">
        <f>IF(Psychologia!D79&gt;0,Psychologia!D79," ")</f>
        <v xml:space="preserve"> </v>
      </c>
      <c r="E79" s="410">
        <v>3</v>
      </c>
      <c r="F79" s="56" t="s">
        <v>459</v>
      </c>
      <c r="G79" s="56" t="str">
        <f>IF(Psychologia!G79&gt;0,Psychologia!G79," ")</f>
        <v>RPS</v>
      </c>
      <c r="H79" s="120" t="str">
        <f>IF(Psychologia!H79&gt;0,Psychologia!H79," ")</f>
        <v xml:space="preserve"> </v>
      </c>
      <c r="I79" s="120" t="str">
        <f>IF(Psychologia!I79&gt;0,Psychologia!I79," ")</f>
        <v>Wprowadzenie do psychologii klinicznej</v>
      </c>
      <c r="J79" s="355">
        <f>Psychologia!Y79+Psychologia!AV79</f>
        <v>125</v>
      </c>
      <c r="K79" s="356">
        <f>Psychologia!AS79+Psychologia!BP79</f>
        <v>55</v>
      </c>
      <c r="L79" s="357">
        <f>Psychologia!Z79+Psychologia!AW79</f>
        <v>70</v>
      </c>
      <c r="M79" s="358">
        <f>Psychologia!AB79+Psychologia!AD79+Psychologia!AY79+Psychologia!BA79</f>
        <v>10</v>
      </c>
      <c r="N79" s="359">
        <f>Psychologia!AA79+Psychologia!AX79</f>
        <v>70</v>
      </c>
      <c r="O79" s="360">
        <f>Psychologia!X79+Psychologia!AU79</f>
        <v>5</v>
      </c>
      <c r="P79" s="361" t="str">
        <f>IF(Psychologia!V79&gt;0,Psychologia!V79," ")</f>
        <v>egz</v>
      </c>
      <c r="Q79" s="362">
        <f t="shared" si="13"/>
        <v>0</v>
      </c>
      <c r="R79" s="363">
        <f t="shared" si="15"/>
        <v>0</v>
      </c>
      <c r="S79" s="404">
        <f t="shared" si="14"/>
        <v>0</v>
      </c>
      <c r="T79" s="350"/>
      <c r="U79" s="351"/>
      <c r="V79" s="351"/>
      <c r="W79" s="351"/>
      <c r="X79" s="351"/>
      <c r="Y79" s="351"/>
      <c r="Z79" s="351"/>
      <c r="AA79" s="351"/>
      <c r="AB79" s="351"/>
      <c r="AC79" s="351"/>
      <c r="AD79" s="351"/>
      <c r="AE79" s="351"/>
      <c r="AF79" s="350"/>
      <c r="AG79" s="351"/>
      <c r="AH79" s="351"/>
      <c r="AI79" s="351"/>
      <c r="AJ79" s="351"/>
      <c r="AK79" s="351"/>
      <c r="AL79" s="351"/>
      <c r="AM79" s="351"/>
      <c r="AN79" s="351"/>
      <c r="AO79" s="351"/>
      <c r="AP79" s="351"/>
      <c r="AQ79" s="351"/>
      <c r="AR79" s="351"/>
      <c r="AS79" s="351"/>
      <c r="AT79" s="351"/>
      <c r="AU79" s="351"/>
      <c r="AV79" s="351"/>
      <c r="AW79" s="351"/>
      <c r="AX79" s="351"/>
      <c r="AY79" s="351"/>
      <c r="AZ79" s="351"/>
      <c r="BA79" s="351"/>
      <c r="BB79" s="351"/>
      <c r="BC79" s="351"/>
      <c r="BD79" s="352"/>
      <c r="BE79" s="352"/>
      <c r="BF79" s="352"/>
      <c r="BG79" s="352"/>
      <c r="BH79" s="350"/>
      <c r="BI79" s="351"/>
      <c r="BJ79" s="351"/>
      <c r="BK79" s="352"/>
      <c r="BL79" s="352"/>
      <c r="BM79" s="352"/>
      <c r="BN79" s="352"/>
      <c r="BO79" s="352"/>
      <c r="BP79" s="353"/>
      <c r="CE79" s="118"/>
      <c r="CF79" s="118"/>
      <c r="CG79" s="118"/>
      <c r="CH79" s="46"/>
    </row>
    <row r="80" spans="1:86" s="44" customFormat="1" ht="30" customHeight="1" thickBot="1" x14ac:dyDescent="0.3">
      <c r="A80" s="617"/>
      <c r="B80" s="688" t="str">
        <f>IF(Psychologia!B80&gt;0,Psychologia!B80," ")</f>
        <v xml:space="preserve"> </v>
      </c>
      <c r="C80" s="689" t="str">
        <f>IF(Psychologia!C80&gt;0,Psychologia!C80," ")</f>
        <v xml:space="preserve"> </v>
      </c>
      <c r="D80" s="689" t="str">
        <f>IF(Psychologia!D80&gt;0,Psychologia!D80," ")</f>
        <v xml:space="preserve"> </v>
      </c>
      <c r="E80" s="688" t="str">
        <f>IF(Psychologia!E80&gt;0,Psychologia!E80," ")</f>
        <v xml:space="preserve"> </v>
      </c>
      <c r="F80" s="689" t="str">
        <f>IF(Psychologia!F80&gt;0,Psychologia!F80," ")</f>
        <v xml:space="preserve"> </v>
      </c>
      <c r="G80" s="689" t="str">
        <f>IF(Psychologia!G80&gt;0,Psychologia!G80," ")</f>
        <v xml:space="preserve"> </v>
      </c>
      <c r="H80" s="690" t="str">
        <f>IF(Psychologia!H80&gt;0,Psychologia!H80," ")</f>
        <v xml:space="preserve"> </v>
      </c>
      <c r="I80" s="691" t="str">
        <f>IF(Psychologia!I80&gt;0,Psychologia!I80," ")</f>
        <v>sumy dla 3 roku</v>
      </c>
      <c r="J80" s="297">
        <f>Psychologia!Y80+Psychologia!AV80</f>
        <v>1520</v>
      </c>
      <c r="K80" s="298">
        <f>Psychologia!AS80+Psychologia!BP80</f>
        <v>455</v>
      </c>
      <c r="L80" s="299">
        <f>SUM(Psychologia!O62:O79)</f>
        <v>1065</v>
      </c>
      <c r="M80" s="299">
        <f>SUM(M62:M79)</f>
        <v>125</v>
      </c>
      <c r="N80" s="299">
        <f>SUM(Psychologia!P62:P79)</f>
        <v>1065</v>
      </c>
      <c r="O80" s="299">
        <f>SUM(Psychologia!Q62:Q79)</f>
        <v>60</v>
      </c>
      <c r="P80" s="299" t="str">
        <f>IF(Psychologia!V80&gt;0,Psychologia!V80," ")</f>
        <v xml:space="preserve"> </v>
      </c>
      <c r="Q80" s="299">
        <f t="shared" ref="Q80:AN80" si="18">SUM(Q62:Q79)</f>
        <v>0</v>
      </c>
      <c r="R80" s="299">
        <f t="shared" si="18"/>
        <v>0</v>
      </c>
      <c r="S80" s="299">
        <f t="shared" si="18"/>
        <v>0</v>
      </c>
      <c r="T80" s="299">
        <f t="shared" si="18"/>
        <v>0</v>
      </c>
      <c r="U80" s="299">
        <f t="shared" si="18"/>
        <v>0</v>
      </c>
      <c r="V80" s="299">
        <f t="shared" si="18"/>
        <v>0</v>
      </c>
      <c r="W80" s="299">
        <f t="shared" si="18"/>
        <v>0</v>
      </c>
      <c r="X80" s="299">
        <f t="shared" si="18"/>
        <v>0</v>
      </c>
      <c r="Y80" s="299">
        <f t="shared" si="18"/>
        <v>0</v>
      </c>
      <c r="Z80" s="299">
        <f t="shared" si="18"/>
        <v>0</v>
      </c>
      <c r="AA80" s="299">
        <f t="shared" si="18"/>
        <v>0</v>
      </c>
      <c r="AB80" s="299">
        <f t="shared" si="18"/>
        <v>0</v>
      </c>
      <c r="AC80" s="299">
        <f t="shared" si="18"/>
        <v>0</v>
      </c>
      <c r="AD80" s="299">
        <f t="shared" si="18"/>
        <v>0</v>
      </c>
      <c r="AE80" s="299">
        <f t="shared" si="18"/>
        <v>0</v>
      </c>
      <c r="AF80" s="299">
        <f t="shared" si="18"/>
        <v>0</v>
      </c>
      <c r="AG80" s="299">
        <f t="shared" si="18"/>
        <v>0</v>
      </c>
      <c r="AH80" s="299">
        <f t="shared" si="18"/>
        <v>0</v>
      </c>
      <c r="AI80" s="299">
        <f t="shared" si="18"/>
        <v>0</v>
      </c>
      <c r="AJ80" s="299">
        <f t="shared" si="18"/>
        <v>0</v>
      </c>
      <c r="AK80" s="299">
        <f t="shared" si="18"/>
        <v>0</v>
      </c>
      <c r="AL80" s="299">
        <f t="shared" si="18"/>
        <v>0</v>
      </c>
      <c r="AM80" s="299">
        <f t="shared" si="18"/>
        <v>0</v>
      </c>
      <c r="AN80" s="299">
        <f t="shared" si="18"/>
        <v>0</v>
      </c>
      <c r="AO80" s="299">
        <f t="shared" ref="AO80:BP80" si="19">SUM(AO62:AO79)</f>
        <v>0</v>
      </c>
      <c r="AP80" s="299">
        <f t="shared" si="19"/>
        <v>0</v>
      </c>
      <c r="AQ80" s="299">
        <f t="shared" si="19"/>
        <v>0</v>
      </c>
      <c r="AR80" s="299">
        <f t="shared" si="19"/>
        <v>0</v>
      </c>
      <c r="AS80" s="299">
        <f t="shared" si="19"/>
        <v>0</v>
      </c>
      <c r="AT80" s="299">
        <f t="shared" si="19"/>
        <v>0</v>
      </c>
      <c r="AU80" s="299">
        <f t="shared" si="19"/>
        <v>0</v>
      </c>
      <c r="AV80" s="299">
        <f t="shared" si="19"/>
        <v>0</v>
      </c>
      <c r="AW80" s="299">
        <f t="shared" si="19"/>
        <v>0</v>
      </c>
      <c r="AX80" s="299">
        <f t="shared" si="19"/>
        <v>0</v>
      </c>
      <c r="AY80" s="299">
        <f t="shared" si="19"/>
        <v>0</v>
      </c>
      <c r="AZ80" s="299">
        <f t="shared" si="19"/>
        <v>0</v>
      </c>
      <c r="BA80" s="299">
        <f t="shared" si="19"/>
        <v>0</v>
      </c>
      <c r="BB80" s="299">
        <f t="shared" si="19"/>
        <v>0</v>
      </c>
      <c r="BC80" s="299">
        <f t="shared" si="19"/>
        <v>0</v>
      </c>
      <c r="BD80" s="299">
        <f t="shared" si="19"/>
        <v>0</v>
      </c>
      <c r="BE80" s="299">
        <f t="shared" si="19"/>
        <v>0</v>
      </c>
      <c r="BF80" s="299">
        <f t="shared" si="19"/>
        <v>0</v>
      </c>
      <c r="BG80" s="612">
        <f t="shared" si="19"/>
        <v>0</v>
      </c>
      <c r="BH80" s="617">
        <f t="shared" si="19"/>
        <v>0</v>
      </c>
      <c r="BI80" s="299">
        <f t="shared" si="19"/>
        <v>0</v>
      </c>
      <c r="BJ80" s="299">
        <f t="shared" si="19"/>
        <v>0</v>
      </c>
      <c r="BK80" s="299">
        <f t="shared" si="19"/>
        <v>0</v>
      </c>
      <c r="BL80" s="299">
        <f t="shared" si="19"/>
        <v>0</v>
      </c>
      <c r="BM80" s="299">
        <f t="shared" si="19"/>
        <v>0</v>
      </c>
      <c r="BN80" s="299">
        <f t="shared" si="19"/>
        <v>0</v>
      </c>
      <c r="BO80" s="299">
        <f t="shared" si="19"/>
        <v>0</v>
      </c>
      <c r="BP80" s="618">
        <f t="shared" si="19"/>
        <v>0</v>
      </c>
      <c r="CE80" s="118"/>
      <c r="CF80" s="118"/>
      <c r="CG80" s="118"/>
      <c r="CH80" s="46"/>
    </row>
    <row r="81" spans="1:86" s="44" customFormat="1" ht="32.25" customHeight="1" x14ac:dyDescent="0.25">
      <c r="A81" s="986">
        <f>Psychologia!A81</f>
        <v>59</v>
      </c>
      <c r="B81" s="987" t="str">
        <f>IF(Psychologia!B81&gt;0,Psychologia!B81," ")</f>
        <v xml:space="preserve"> </v>
      </c>
      <c r="C81" s="988" t="str">
        <f>IF(Psychologia!C81&gt;0,Psychologia!C81," ")</f>
        <v>2026/2027</v>
      </c>
      <c r="D81" s="988" t="str">
        <f>IF(Psychologia!D81&gt;0,Psychologia!D81," ")</f>
        <v xml:space="preserve"> </v>
      </c>
      <c r="E81" s="987">
        <f>IF(Psychologia!E81&gt;0,Psychologia!E81," ")</f>
        <v>4</v>
      </c>
      <c r="F81" s="989" t="str">
        <f>IF(Psychologia!F81&gt;0,Psychologia!F81," ")</f>
        <v>2029/2030</v>
      </c>
      <c r="G81" s="989" t="str">
        <f>IF(Psychologia!G81&gt;0,Psychologia!G81," ")</f>
        <v>RPS</v>
      </c>
      <c r="H81" s="990" t="str">
        <f>IF(Psychologia!H81&gt;0,Psychologia!H81," ")</f>
        <v xml:space="preserve"> </v>
      </c>
      <c r="I81" s="990" t="str">
        <f>IF(Psychologia!I81&gt;0,Psychologia!I81," ")</f>
        <v>Psychiatria</v>
      </c>
      <c r="J81" s="379">
        <f>Psychologia!Y81+Psychologia!AV81</f>
        <v>100</v>
      </c>
      <c r="K81" s="380">
        <f>Psychologia!AS81+Psychologia!BP81</f>
        <v>25</v>
      </c>
      <c r="L81" s="381">
        <f>Psychologia!Z81+Psychologia!AW81</f>
        <v>75</v>
      </c>
      <c r="M81" s="382">
        <f>Psychologia!AB81+Psychologia!AD81+Psychologia!AY81+Psychologia!BA81</f>
        <v>10</v>
      </c>
      <c r="N81" s="383">
        <f>Psychologia!AA81+Psychologia!AX81</f>
        <v>75</v>
      </c>
      <c r="O81" s="384">
        <f>Psychologia!X81+Psychologia!AU81</f>
        <v>4</v>
      </c>
      <c r="P81" s="385" t="str">
        <f>IF(Psychologia!V81&gt;0,Psychologia!V81," ")</f>
        <v>egz</v>
      </c>
      <c r="Q81" s="386">
        <f t="shared" ref="Q81:Q103" si="20">SUM(T81:AE81)</f>
        <v>0</v>
      </c>
      <c r="R81" s="387">
        <f t="shared" ref="R81:R103" si="21">SUM(AF81:BG81)</f>
        <v>0</v>
      </c>
      <c r="S81" s="388">
        <f t="shared" ref="S81:S103" si="22">SUM(BH81:BP81)</f>
        <v>0</v>
      </c>
      <c r="T81" s="978"/>
      <c r="U81" s="979"/>
      <c r="V81" s="979"/>
      <c r="W81" s="979"/>
      <c r="X81" s="979"/>
      <c r="Y81" s="979"/>
      <c r="Z81" s="979"/>
      <c r="AA81" s="979"/>
      <c r="AB81" s="979"/>
      <c r="AC81" s="979"/>
      <c r="AD81" s="979"/>
      <c r="AE81" s="979"/>
      <c r="AF81" s="978"/>
      <c r="AG81" s="979"/>
      <c r="AH81" s="979"/>
      <c r="AI81" s="979"/>
      <c r="AJ81" s="979"/>
      <c r="AK81" s="979"/>
      <c r="AL81" s="979"/>
      <c r="AM81" s="979"/>
      <c r="AN81" s="979"/>
      <c r="AO81" s="979"/>
      <c r="AP81" s="979"/>
      <c r="AQ81" s="979"/>
      <c r="AR81" s="979"/>
      <c r="AS81" s="979"/>
      <c r="AT81" s="979"/>
      <c r="AU81" s="979"/>
      <c r="AV81" s="979"/>
      <c r="AW81" s="979"/>
      <c r="AX81" s="979"/>
      <c r="AY81" s="979"/>
      <c r="AZ81" s="979"/>
      <c r="BA81" s="979"/>
      <c r="BB81" s="979"/>
      <c r="BC81" s="979"/>
      <c r="BD81" s="980"/>
      <c r="BE81" s="980"/>
      <c r="BF81" s="980"/>
      <c r="BG81" s="980"/>
      <c r="BH81" s="981"/>
      <c r="BI81" s="982"/>
      <c r="BJ81" s="982"/>
      <c r="BK81" s="983"/>
      <c r="BL81" s="983"/>
      <c r="BM81" s="983"/>
      <c r="BN81" s="983"/>
      <c r="BO81" s="983"/>
      <c r="BP81" s="984"/>
      <c r="CE81" s="118"/>
      <c r="CF81" s="118"/>
      <c r="CG81" s="118"/>
      <c r="CH81" s="46"/>
    </row>
    <row r="82" spans="1:86" s="44" customFormat="1" ht="32.25" customHeight="1" x14ac:dyDescent="0.25">
      <c r="A82" s="986">
        <f>Psychologia!A82</f>
        <v>60</v>
      </c>
      <c r="B82" s="987" t="str">
        <f>IF(Psychologia!B82&gt;0,Psychologia!B82," ")</f>
        <v xml:space="preserve"> </v>
      </c>
      <c r="C82" s="988" t="str">
        <f>IF(Psychologia!C82&gt;0,Psychologia!C82," ")</f>
        <v>2026/2027</v>
      </c>
      <c r="D82" s="988" t="str">
        <f>IF(Psychologia!D82&gt;0,Psychologia!D82," ")</f>
        <v xml:space="preserve"> </v>
      </c>
      <c r="E82" s="987">
        <f>IF(Psychologia!E82&gt;0,Psychologia!E82," ")</f>
        <v>4</v>
      </c>
      <c r="F82" s="989" t="str">
        <f>IF(Psychologia!F82&gt;0,Psychologia!F82," ")</f>
        <v>2029/2030</v>
      </c>
      <c r="G82" s="989" t="str">
        <f>IF(Psychologia!G82&gt;0,Psychologia!G82," ")</f>
        <v>RPS</v>
      </c>
      <c r="H82" s="990" t="str">
        <f>IF(Psychologia!H82&gt;0,Psychologia!H82," ")</f>
        <v xml:space="preserve"> </v>
      </c>
      <c r="I82" s="990" t="str">
        <f>IF(Psychologia!I82&gt;0,Psychologia!I82," ")</f>
        <v>Psychofarmakologia</v>
      </c>
      <c r="J82" s="372">
        <f>Psychologia!Y82+Psychologia!AV82</f>
        <v>50</v>
      </c>
      <c r="K82" s="373">
        <f>Psychologia!AS82+Psychologia!BP82</f>
        <v>30</v>
      </c>
      <c r="L82" s="374">
        <f>Psychologia!Z82+Psychologia!AW82</f>
        <v>20</v>
      </c>
      <c r="M82" s="375">
        <f>Psychologia!AB82+Psychologia!AD82+Psychologia!AY82+Psychologia!BA82</f>
        <v>10</v>
      </c>
      <c r="N82" s="376">
        <f>Psychologia!AA82+Psychologia!AX82</f>
        <v>20</v>
      </c>
      <c r="O82" s="377">
        <f>Psychologia!X82+Psychologia!AU82</f>
        <v>2</v>
      </c>
      <c r="P82" s="378" t="str">
        <f>IF(Psychologia!V82&gt;0,Psychologia!V82," ")</f>
        <v>zal/o</v>
      </c>
      <c r="Q82" s="389">
        <f t="shared" si="20"/>
        <v>0</v>
      </c>
      <c r="R82" s="390">
        <f t="shared" si="21"/>
        <v>0</v>
      </c>
      <c r="S82" s="394">
        <f t="shared" si="22"/>
        <v>0</v>
      </c>
      <c r="T82" s="978"/>
      <c r="U82" s="979"/>
      <c r="V82" s="979"/>
      <c r="W82" s="979"/>
      <c r="X82" s="979"/>
      <c r="Y82" s="979"/>
      <c r="Z82" s="979"/>
      <c r="AA82" s="979"/>
      <c r="AB82" s="979"/>
      <c r="AC82" s="979"/>
      <c r="AD82" s="979"/>
      <c r="AE82" s="979"/>
      <c r="AF82" s="978"/>
      <c r="AG82" s="979"/>
      <c r="AH82" s="979"/>
      <c r="AI82" s="979"/>
      <c r="AJ82" s="979"/>
      <c r="AK82" s="979"/>
      <c r="AL82" s="979"/>
      <c r="AM82" s="979"/>
      <c r="AN82" s="979"/>
      <c r="AO82" s="979"/>
      <c r="AP82" s="979"/>
      <c r="AQ82" s="979"/>
      <c r="AR82" s="979"/>
      <c r="AS82" s="979"/>
      <c r="AT82" s="979"/>
      <c r="AU82" s="979"/>
      <c r="AV82" s="979"/>
      <c r="AW82" s="979"/>
      <c r="AX82" s="979"/>
      <c r="AY82" s="979"/>
      <c r="AZ82" s="979"/>
      <c r="BA82" s="979"/>
      <c r="BB82" s="979"/>
      <c r="BC82" s="979"/>
      <c r="BD82" s="980"/>
      <c r="BE82" s="980"/>
      <c r="BF82" s="980"/>
      <c r="BG82" s="980"/>
      <c r="BH82" s="981"/>
      <c r="BI82" s="982"/>
      <c r="BJ82" s="982"/>
      <c r="BK82" s="983"/>
      <c r="BL82" s="983"/>
      <c r="BM82" s="983"/>
      <c r="BN82" s="983"/>
      <c r="BO82" s="983"/>
      <c r="BP82" s="984"/>
      <c r="CE82" s="118"/>
      <c r="CF82" s="118"/>
      <c r="CG82" s="118"/>
      <c r="CH82" s="46"/>
    </row>
    <row r="83" spans="1:86" s="44" customFormat="1" ht="32.25" customHeight="1" x14ac:dyDescent="0.25">
      <c r="A83" s="986" t="e">
        <f>Psychologia!#REF!</f>
        <v>#REF!</v>
      </c>
      <c r="B83" s="987" t="e">
        <f>IF(Psychologia!#REF!&gt;0,Psychologia!#REF!," ")</f>
        <v>#REF!</v>
      </c>
      <c r="C83" s="988" t="e">
        <f>IF(Psychologia!#REF!&gt;0,Psychologia!#REF!," ")</f>
        <v>#REF!</v>
      </c>
      <c r="D83" s="988" t="e">
        <f>IF(Psychologia!#REF!&gt;0,Psychologia!#REF!," ")</f>
        <v>#REF!</v>
      </c>
      <c r="E83" s="987" t="e">
        <f>IF(Psychologia!#REF!&gt;0,Psychologia!#REF!," ")</f>
        <v>#REF!</v>
      </c>
      <c r="F83" s="989" t="e">
        <f>IF(Psychologia!#REF!&gt;0,Psychologia!#REF!," ")</f>
        <v>#REF!</v>
      </c>
      <c r="G83" s="989" t="e">
        <f>IF(Psychologia!#REF!&gt;0,Psychologia!#REF!," ")</f>
        <v>#REF!</v>
      </c>
      <c r="H83" s="990" t="e">
        <f>IF(Psychologia!#REF!&gt;0,Psychologia!#REF!," ")</f>
        <v>#REF!</v>
      </c>
      <c r="I83" s="990" t="e">
        <f>IF(Psychologia!#REF!&gt;0,Psychologia!#REF!," ")</f>
        <v>#REF!</v>
      </c>
      <c r="J83" s="372" t="e">
        <f>Psychologia!#REF!+Psychologia!#REF!</f>
        <v>#REF!</v>
      </c>
      <c r="K83" s="373" t="e">
        <f>Psychologia!#REF!+Psychologia!#REF!</f>
        <v>#REF!</v>
      </c>
      <c r="L83" s="374" t="e">
        <f>Psychologia!#REF!+Psychologia!#REF!</f>
        <v>#REF!</v>
      </c>
      <c r="M83" s="375" t="e">
        <f>Psychologia!#REF!+Psychologia!#REF!+Psychologia!#REF!+Psychologia!#REF!</f>
        <v>#REF!</v>
      </c>
      <c r="N83" s="376" t="e">
        <f>Psychologia!#REF!+Psychologia!#REF!</f>
        <v>#REF!</v>
      </c>
      <c r="O83" s="377" t="e">
        <f>Psychologia!#REF!+Psychologia!#REF!</f>
        <v>#REF!</v>
      </c>
      <c r="P83" s="378" t="e">
        <f>IF(Psychologia!#REF!&gt;0,Psychologia!#REF!," ")</f>
        <v>#REF!</v>
      </c>
      <c r="Q83" s="389">
        <f t="shared" si="20"/>
        <v>0</v>
      </c>
      <c r="R83" s="390">
        <f t="shared" si="21"/>
        <v>0</v>
      </c>
      <c r="S83" s="394">
        <f t="shared" si="22"/>
        <v>0</v>
      </c>
      <c r="T83" s="978"/>
      <c r="U83" s="979"/>
      <c r="V83" s="979"/>
      <c r="W83" s="979"/>
      <c r="X83" s="979"/>
      <c r="Y83" s="979"/>
      <c r="Z83" s="979"/>
      <c r="AA83" s="979"/>
      <c r="AB83" s="979"/>
      <c r="AC83" s="979"/>
      <c r="AD83" s="979"/>
      <c r="AE83" s="979"/>
      <c r="AF83" s="978"/>
      <c r="AG83" s="979"/>
      <c r="AH83" s="979"/>
      <c r="AI83" s="979"/>
      <c r="AJ83" s="979"/>
      <c r="AK83" s="979"/>
      <c r="AL83" s="979"/>
      <c r="AM83" s="979"/>
      <c r="AN83" s="979"/>
      <c r="AO83" s="979"/>
      <c r="AP83" s="979"/>
      <c r="AQ83" s="979"/>
      <c r="AR83" s="979"/>
      <c r="AS83" s="979"/>
      <c r="AT83" s="979"/>
      <c r="AU83" s="979"/>
      <c r="AV83" s="979"/>
      <c r="AW83" s="979"/>
      <c r="AX83" s="979"/>
      <c r="AY83" s="979"/>
      <c r="AZ83" s="979"/>
      <c r="BA83" s="979"/>
      <c r="BB83" s="979"/>
      <c r="BC83" s="979"/>
      <c r="BD83" s="980"/>
      <c r="BE83" s="980"/>
      <c r="BF83" s="980"/>
      <c r="BG83" s="980"/>
      <c r="BH83" s="981"/>
      <c r="BI83" s="982"/>
      <c r="BJ83" s="982"/>
      <c r="BK83" s="983"/>
      <c r="BL83" s="983"/>
      <c r="BM83" s="983"/>
      <c r="BN83" s="983"/>
      <c r="BO83" s="983"/>
      <c r="BP83" s="984"/>
      <c r="CE83" s="118"/>
      <c r="CF83" s="118"/>
      <c r="CG83" s="118"/>
      <c r="CH83" s="46"/>
    </row>
    <row r="84" spans="1:86" s="44" customFormat="1" ht="32.25" customHeight="1" x14ac:dyDescent="0.25">
      <c r="A84" s="986" t="e">
        <f>Psychologia!#REF!</f>
        <v>#REF!</v>
      </c>
      <c r="B84" s="987" t="e">
        <f>IF(Psychologia!#REF!&gt;0,Psychologia!#REF!," ")</f>
        <v>#REF!</v>
      </c>
      <c r="C84" s="988" t="e">
        <f>IF(Psychologia!#REF!&gt;0,Psychologia!#REF!," ")</f>
        <v>#REF!</v>
      </c>
      <c r="D84" s="988" t="e">
        <f>IF(Psychologia!#REF!&gt;0,Psychologia!#REF!," ")</f>
        <v>#REF!</v>
      </c>
      <c r="E84" s="987" t="e">
        <f>IF(Psychologia!#REF!&gt;0,Psychologia!#REF!," ")</f>
        <v>#REF!</v>
      </c>
      <c r="F84" s="989" t="e">
        <f>IF(Psychologia!#REF!&gt;0,Psychologia!#REF!," ")</f>
        <v>#REF!</v>
      </c>
      <c r="G84" s="989" t="e">
        <f>IF(Psychologia!#REF!&gt;0,Psychologia!#REF!," ")</f>
        <v>#REF!</v>
      </c>
      <c r="H84" s="990" t="e">
        <f>IF(Psychologia!#REF!&gt;0,Psychologia!#REF!," ")</f>
        <v>#REF!</v>
      </c>
      <c r="I84" s="990" t="e">
        <f>IF(Psychologia!#REF!&gt;0,Psychologia!#REF!," ")</f>
        <v>#REF!</v>
      </c>
      <c r="J84" s="372" t="e">
        <f>Psychologia!#REF!+Psychologia!#REF!</f>
        <v>#REF!</v>
      </c>
      <c r="K84" s="373" t="e">
        <f>Psychologia!#REF!+Psychologia!#REF!</f>
        <v>#REF!</v>
      </c>
      <c r="L84" s="374" t="e">
        <f>Psychologia!#REF!+Psychologia!#REF!</f>
        <v>#REF!</v>
      </c>
      <c r="M84" s="375" t="e">
        <f>Psychologia!#REF!+Psychologia!#REF!+Psychologia!#REF!+Psychologia!#REF!</f>
        <v>#REF!</v>
      </c>
      <c r="N84" s="376" t="e">
        <f>Psychologia!#REF!+Psychologia!#REF!</f>
        <v>#REF!</v>
      </c>
      <c r="O84" s="377" t="e">
        <f>Psychologia!#REF!+Psychologia!#REF!</f>
        <v>#REF!</v>
      </c>
      <c r="P84" s="378" t="e">
        <f>IF(Psychologia!#REF!&gt;0,Psychologia!#REF!," ")</f>
        <v>#REF!</v>
      </c>
      <c r="Q84" s="389">
        <f t="shared" si="20"/>
        <v>0</v>
      </c>
      <c r="R84" s="390">
        <f t="shared" si="21"/>
        <v>0</v>
      </c>
      <c r="S84" s="394">
        <f t="shared" si="22"/>
        <v>0</v>
      </c>
      <c r="T84" s="978"/>
      <c r="U84" s="979"/>
      <c r="V84" s="979"/>
      <c r="W84" s="979"/>
      <c r="X84" s="979"/>
      <c r="Y84" s="979"/>
      <c r="Z84" s="979"/>
      <c r="AA84" s="979"/>
      <c r="AB84" s="979"/>
      <c r="AC84" s="979"/>
      <c r="AD84" s="979"/>
      <c r="AE84" s="979"/>
      <c r="AF84" s="978"/>
      <c r="AG84" s="979"/>
      <c r="AH84" s="979"/>
      <c r="AI84" s="979"/>
      <c r="AJ84" s="979"/>
      <c r="AK84" s="979"/>
      <c r="AL84" s="979"/>
      <c r="AM84" s="979"/>
      <c r="AN84" s="979"/>
      <c r="AO84" s="979"/>
      <c r="AP84" s="979"/>
      <c r="AQ84" s="979"/>
      <c r="AR84" s="979"/>
      <c r="AS84" s="979"/>
      <c r="AT84" s="979"/>
      <c r="AU84" s="979"/>
      <c r="AV84" s="979"/>
      <c r="AW84" s="979"/>
      <c r="AX84" s="979"/>
      <c r="AY84" s="979"/>
      <c r="AZ84" s="979"/>
      <c r="BA84" s="979"/>
      <c r="BB84" s="979"/>
      <c r="BC84" s="979"/>
      <c r="BD84" s="980"/>
      <c r="BE84" s="980"/>
      <c r="BF84" s="980"/>
      <c r="BG84" s="980"/>
      <c r="BH84" s="981"/>
      <c r="BI84" s="982"/>
      <c r="BJ84" s="982"/>
      <c r="BK84" s="983"/>
      <c r="BL84" s="983"/>
      <c r="BM84" s="983"/>
      <c r="BN84" s="983"/>
      <c r="BO84" s="983"/>
      <c r="BP84" s="984"/>
      <c r="CE84" s="118"/>
      <c r="CF84" s="118"/>
      <c r="CG84" s="118"/>
      <c r="CH84" s="46"/>
    </row>
    <row r="85" spans="1:86" s="44" customFormat="1" ht="32.25" customHeight="1" x14ac:dyDescent="0.25">
      <c r="A85" s="46" t="e">
        <f>Psychologia!#REF!</f>
        <v>#REF!</v>
      </c>
      <c r="B85" s="127" t="e">
        <f>IF(Psychologia!#REF!&gt;0,Psychologia!#REF!," ")</f>
        <v>#REF!</v>
      </c>
      <c r="C85" s="128" t="e">
        <f>IF(Psychologia!#REF!&gt;0,Psychologia!#REF!," ")</f>
        <v>#REF!</v>
      </c>
      <c r="D85" s="128" t="e">
        <f>IF(Psychologia!#REF!&gt;0,Psychologia!#REF!," ")</f>
        <v>#REF!</v>
      </c>
      <c r="E85" s="127" t="e">
        <f>IF(Psychologia!#REF!&gt;0,Psychologia!#REF!," ")</f>
        <v>#REF!</v>
      </c>
      <c r="F85" s="32" t="e">
        <f>IF(Psychologia!#REF!&gt;0,Psychologia!#REF!," ")</f>
        <v>#REF!</v>
      </c>
      <c r="G85" s="32" t="e">
        <f>IF(Psychologia!#REF!&gt;0,Psychologia!#REF!," ")</f>
        <v>#REF!</v>
      </c>
      <c r="H85" s="122" t="e">
        <f>IF(Psychologia!#REF!&gt;0,Psychologia!#REF!," ")</f>
        <v>#REF!</v>
      </c>
      <c r="I85" s="122" t="e">
        <f>IF(Psychologia!#REF!&gt;0,Psychologia!#REF!," ")</f>
        <v>#REF!</v>
      </c>
      <c r="J85" s="372" t="e">
        <f>Psychologia!#REF!+Psychologia!#REF!</f>
        <v>#REF!</v>
      </c>
      <c r="K85" s="373" t="e">
        <f>Psychologia!#REF!+Psychologia!#REF!</f>
        <v>#REF!</v>
      </c>
      <c r="L85" s="374" t="e">
        <f>Psychologia!#REF!+Psychologia!#REF!</f>
        <v>#REF!</v>
      </c>
      <c r="M85" s="375" t="e">
        <f>Psychologia!#REF!+Psychologia!#REF!+Psychologia!#REF!+Psychologia!#REF!</f>
        <v>#REF!</v>
      </c>
      <c r="N85" s="376" t="e">
        <f>Psychologia!#REF!+Psychologia!#REF!</f>
        <v>#REF!</v>
      </c>
      <c r="O85" s="377" t="e">
        <f>Psychologia!#REF!+Psychologia!#REF!</f>
        <v>#REF!</v>
      </c>
      <c r="P85" s="378" t="e">
        <f>IF(Psychologia!#REF!&gt;0,Psychologia!#REF!," ")</f>
        <v>#REF!</v>
      </c>
      <c r="Q85" s="389">
        <f t="shared" si="20"/>
        <v>0</v>
      </c>
      <c r="R85" s="390">
        <f t="shared" si="21"/>
        <v>0</v>
      </c>
      <c r="S85" s="394">
        <f t="shared" si="22"/>
        <v>0</v>
      </c>
      <c r="T85" s="132"/>
      <c r="U85" s="131"/>
      <c r="V85" s="131"/>
      <c r="W85" s="131"/>
      <c r="X85" s="131"/>
      <c r="Y85" s="131"/>
      <c r="Z85" s="131"/>
      <c r="AA85" s="131"/>
      <c r="AB85" s="131"/>
      <c r="AC85" s="131"/>
      <c r="AD85" s="131"/>
      <c r="AE85" s="131"/>
      <c r="AF85" s="132"/>
      <c r="AG85" s="131"/>
      <c r="AH85" s="131"/>
      <c r="AI85" s="131"/>
      <c r="AJ85" s="131"/>
      <c r="AK85" s="131"/>
      <c r="AL85" s="131"/>
      <c r="AM85" s="131"/>
      <c r="AN85" s="131"/>
      <c r="AO85" s="131"/>
      <c r="AP85" s="131"/>
      <c r="AQ85" s="131"/>
      <c r="AR85" s="131"/>
      <c r="AS85" s="131"/>
      <c r="AT85" s="131"/>
      <c r="AU85" s="131"/>
      <c r="AV85" s="131"/>
      <c r="AW85" s="131"/>
      <c r="AX85" s="131"/>
      <c r="AY85" s="131"/>
      <c r="AZ85" s="131"/>
      <c r="BA85" s="131"/>
      <c r="BB85" s="131"/>
      <c r="BC85" s="131"/>
      <c r="BD85" s="348"/>
      <c r="BE85" s="348"/>
      <c r="BF85" s="348"/>
      <c r="BG85" s="348"/>
      <c r="BH85" s="144"/>
      <c r="BI85" s="136"/>
      <c r="BJ85" s="136"/>
      <c r="BK85" s="349"/>
      <c r="BL85" s="349"/>
      <c r="BM85" s="349"/>
      <c r="BN85" s="349"/>
      <c r="BO85" s="349"/>
      <c r="BP85" s="145"/>
      <c r="CE85" s="118"/>
      <c r="CF85" s="118"/>
      <c r="CG85" s="118"/>
      <c r="CH85" s="46"/>
    </row>
    <row r="86" spans="1:86" s="44" customFormat="1" ht="32.25" customHeight="1" x14ac:dyDescent="0.25">
      <c r="A86" s="46">
        <f>Psychologia!A86</f>
        <v>64</v>
      </c>
      <c r="B86" s="127" t="str">
        <f>IF(Psychologia!B86&gt;0,Psychologia!B86," ")</f>
        <v xml:space="preserve"> </v>
      </c>
      <c r="C86" s="128" t="str">
        <f>IF(Psychologia!C86&gt;0,Psychologia!C86," ")</f>
        <v>2026/2027</v>
      </c>
      <c r="D86" s="128" t="str">
        <f>IF(Psychologia!D86&gt;0,Psychologia!D86," ")</f>
        <v xml:space="preserve"> </v>
      </c>
      <c r="E86" s="127">
        <f>IF(Psychologia!E86&gt;0,Psychologia!E86," ")</f>
        <v>4</v>
      </c>
      <c r="F86" s="32" t="str">
        <f>IF(Psychologia!F86&gt;0,Psychologia!F86," ")</f>
        <v>2029/2030</v>
      </c>
      <c r="G86" s="32" t="str">
        <f>IF(Psychologia!G86&gt;0,Psychologia!G86," ")</f>
        <v>RPS</v>
      </c>
      <c r="H86" s="122" t="str">
        <f>IF(Psychologia!H86&gt;0,Psychologia!H86," ")</f>
        <v xml:space="preserve"> </v>
      </c>
      <c r="I86" s="604" t="str">
        <f>IF(Psychologia!I86&gt;0,Psychologia!I86," ")</f>
        <v>Praktyki zawodowe w zakresie klinicznej diagnozy psychologicznej dzieci i młodzieży</v>
      </c>
      <c r="J86" s="372">
        <f>Psychologia!Y86+Psychologia!AV86</f>
        <v>160</v>
      </c>
      <c r="K86" s="373">
        <f>Psychologia!AS86+Psychologia!BP86</f>
        <v>0</v>
      </c>
      <c r="L86" s="374">
        <f>Psychologia!Z86+Psychologia!AW86</f>
        <v>160</v>
      </c>
      <c r="M86" s="375">
        <f>Psychologia!AB86+Psychologia!AD86+Psychologia!AY86+Psychologia!BA86</f>
        <v>0</v>
      </c>
      <c r="N86" s="376">
        <f>Psychologia!AA86+Psychologia!AX86</f>
        <v>160</v>
      </c>
      <c r="O86" s="377">
        <f>Psychologia!X86+Psychologia!AU86</f>
        <v>6</v>
      </c>
      <c r="P86" s="378" t="str">
        <f>IF(Psychologia!V86&gt;0,Psychologia!V86," ")</f>
        <v>zal/o</v>
      </c>
      <c r="Q86" s="389">
        <f t="shared" si="20"/>
        <v>0</v>
      </c>
      <c r="R86" s="390">
        <f t="shared" si="21"/>
        <v>0</v>
      </c>
      <c r="S86" s="394">
        <f t="shared" si="22"/>
        <v>0</v>
      </c>
      <c r="T86" s="132"/>
      <c r="U86" s="131"/>
      <c r="V86" s="131"/>
      <c r="W86" s="131"/>
      <c r="X86" s="131"/>
      <c r="Y86" s="131"/>
      <c r="Z86" s="131"/>
      <c r="AA86" s="131"/>
      <c r="AB86" s="131"/>
      <c r="AC86" s="131"/>
      <c r="AD86" s="131"/>
      <c r="AE86" s="131"/>
      <c r="AF86" s="692"/>
      <c r="AG86" s="131"/>
      <c r="AH86" s="131"/>
      <c r="AI86" s="131"/>
      <c r="AJ86" s="131"/>
      <c r="AK86" s="131"/>
      <c r="AL86" s="131"/>
      <c r="AM86" s="131"/>
      <c r="AN86" s="131"/>
      <c r="AO86" s="693"/>
      <c r="AP86" s="131"/>
      <c r="AQ86" s="131"/>
      <c r="AR86" s="131"/>
      <c r="AS86" s="131"/>
      <c r="AT86" s="131"/>
      <c r="AU86" s="131"/>
      <c r="AV86" s="131"/>
      <c r="AW86" s="131"/>
      <c r="AX86" s="131"/>
      <c r="AY86" s="131"/>
      <c r="AZ86" s="131"/>
      <c r="BA86" s="131"/>
      <c r="BB86" s="131"/>
      <c r="BC86" s="131"/>
      <c r="BD86" s="348"/>
      <c r="BE86" s="348"/>
      <c r="BF86" s="348"/>
      <c r="BG86" s="348"/>
      <c r="BH86" s="144"/>
      <c r="BI86" s="136"/>
      <c r="BJ86" s="136"/>
      <c r="BK86" s="349"/>
      <c r="BL86" s="349"/>
      <c r="BM86" s="349"/>
      <c r="BN86" s="349"/>
      <c r="BO86" s="349"/>
      <c r="BP86" s="145"/>
      <c r="CE86" s="118"/>
      <c r="CF86" s="118"/>
      <c r="CG86" s="118"/>
      <c r="CH86" s="46"/>
    </row>
    <row r="87" spans="1:86" s="44" customFormat="1" ht="32.25" customHeight="1" x14ac:dyDescent="0.25">
      <c r="A87" s="46">
        <f>Psychologia!A87</f>
        <v>65</v>
      </c>
      <c r="B87" s="127" t="str">
        <f>IF(Psychologia!B87&gt;0,Psychologia!B87," ")</f>
        <v xml:space="preserve"> </v>
      </c>
      <c r="C87" s="128" t="str">
        <f>IF(Psychologia!C87&gt;0,Psychologia!C87," ")</f>
        <v>2026/2027</v>
      </c>
      <c r="D87" s="128" t="str">
        <f>IF(Psychologia!D87&gt;0,Psychologia!D87," ")</f>
        <v xml:space="preserve"> </v>
      </c>
      <c r="E87" s="127">
        <f>IF(Psychologia!E87&gt;0,Psychologia!E87," ")</f>
        <v>4</v>
      </c>
      <c r="F87" s="32" t="str">
        <f>IF(Psychologia!F87&gt;0,Psychologia!F87," ")</f>
        <v>2029/2030</v>
      </c>
      <c r="G87" s="32" t="str">
        <f>IF(Psychologia!G87&gt;0,Psychologia!G87," ")</f>
        <v>RPS</v>
      </c>
      <c r="H87" s="122" t="str">
        <f>IF(Psychologia!H87&gt;0,Psychologia!H87," ")</f>
        <v xml:space="preserve"> </v>
      </c>
      <c r="I87" s="604" t="str">
        <f>IF(Psychologia!I87&gt;0,Psychologia!I87," ")</f>
        <v>Praktyki zawodowe w zakresie neuropsychologii</v>
      </c>
      <c r="J87" s="372">
        <f>Psychologia!Y87+Psychologia!AV87</f>
        <v>160</v>
      </c>
      <c r="K87" s="373">
        <f>Psychologia!AS87+Psychologia!BP87</f>
        <v>0</v>
      </c>
      <c r="L87" s="374">
        <f>Psychologia!Z87+Psychologia!AW87</f>
        <v>160</v>
      </c>
      <c r="M87" s="375">
        <f>Psychologia!AB87+Psychologia!AD87+Psychologia!AY87+Psychologia!BA87</f>
        <v>0</v>
      </c>
      <c r="N87" s="376">
        <f>Psychologia!AA87+Psychologia!AX87</f>
        <v>160</v>
      </c>
      <c r="O87" s="377">
        <f>Psychologia!X87+Psychologia!AU87</f>
        <v>6</v>
      </c>
      <c r="P87" s="378" t="str">
        <f>IF(Psychologia!V87&gt;0,Psychologia!V87," ")</f>
        <v>zal/o</v>
      </c>
      <c r="Q87" s="389">
        <f t="shared" si="20"/>
        <v>0</v>
      </c>
      <c r="R87" s="390">
        <f t="shared" si="21"/>
        <v>0</v>
      </c>
      <c r="S87" s="394">
        <f t="shared" si="22"/>
        <v>0</v>
      </c>
      <c r="T87" s="132"/>
      <c r="U87" s="131"/>
      <c r="V87" s="131"/>
      <c r="W87" s="131"/>
      <c r="X87" s="131"/>
      <c r="Y87" s="131"/>
      <c r="Z87" s="131"/>
      <c r="AA87" s="131"/>
      <c r="AB87" s="131"/>
      <c r="AC87" s="131"/>
      <c r="AD87" s="131"/>
      <c r="AE87" s="131"/>
      <c r="AF87" s="692"/>
      <c r="AG87" s="131"/>
      <c r="AH87" s="131"/>
      <c r="AI87" s="131"/>
      <c r="AJ87" s="131"/>
      <c r="AK87" s="131"/>
      <c r="AL87" s="131"/>
      <c r="AM87" s="131"/>
      <c r="AN87" s="131"/>
      <c r="AO87" s="693"/>
      <c r="AP87" s="131"/>
      <c r="AQ87" s="131"/>
      <c r="AR87" s="131"/>
      <c r="AS87" s="131"/>
      <c r="AT87" s="131"/>
      <c r="AU87" s="131"/>
      <c r="AV87" s="131"/>
      <c r="AW87" s="131"/>
      <c r="AX87" s="131"/>
      <c r="AY87" s="131"/>
      <c r="AZ87" s="131"/>
      <c r="BA87" s="131"/>
      <c r="BB87" s="131"/>
      <c r="BC87" s="131"/>
      <c r="BD87" s="348"/>
      <c r="BE87" s="348"/>
      <c r="BF87" s="348"/>
      <c r="BG87" s="348"/>
      <c r="BH87" s="144"/>
      <c r="BI87" s="136"/>
      <c r="BJ87" s="136"/>
      <c r="BK87" s="349"/>
      <c r="BL87" s="349"/>
      <c r="BM87" s="349"/>
      <c r="BN87" s="349"/>
      <c r="BO87" s="349"/>
      <c r="BP87" s="145"/>
      <c r="CE87" s="118"/>
      <c r="CF87" s="118"/>
      <c r="CG87" s="118"/>
      <c r="CH87" s="46"/>
    </row>
    <row r="88" spans="1:86" s="44" customFormat="1" ht="32.25" customHeight="1" x14ac:dyDescent="0.25">
      <c r="A88" s="46" t="e">
        <f>Psychologia!#REF!</f>
        <v>#REF!</v>
      </c>
      <c r="B88" s="127" t="e">
        <f>IF(Psychologia!#REF!&gt;0,Psychologia!#REF!," ")</f>
        <v>#REF!</v>
      </c>
      <c r="C88" s="128" t="e">
        <f>IF(Psychologia!#REF!&gt;0,Psychologia!#REF!," ")</f>
        <v>#REF!</v>
      </c>
      <c r="D88" s="128" t="e">
        <f>IF(Psychologia!#REF!&gt;0,Psychologia!#REF!," ")</f>
        <v>#REF!</v>
      </c>
      <c r="E88" s="127" t="e">
        <f>IF(Psychologia!#REF!&gt;0,Psychologia!#REF!," ")</f>
        <v>#REF!</v>
      </c>
      <c r="F88" s="32" t="e">
        <f>IF(Psychologia!#REF!&gt;0,Psychologia!#REF!," ")</f>
        <v>#REF!</v>
      </c>
      <c r="G88" s="32" t="e">
        <f>IF(Psychologia!#REF!&gt;0,Psychologia!#REF!," ")</f>
        <v>#REF!</v>
      </c>
      <c r="H88" s="122" t="e">
        <f>IF(Psychologia!#REF!&gt;0,Psychologia!#REF!," ")</f>
        <v>#REF!</v>
      </c>
      <c r="I88" s="122" t="e">
        <f>IF(Psychologia!#REF!&gt;0,Psychologia!#REF!," ")</f>
        <v>#REF!</v>
      </c>
      <c r="J88" s="372" t="e">
        <f>Psychologia!#REF!+Psychologia!#REF!</f>
        <v>#REF!</v>
      </c>
      <c r="K88" s="373" t="e">
        <f>Psychologia!#REF!+Psychologia!#REF!</f>
        <v>#REF!</v>
      </c>
      <c r="L88" s="374" t="e">
        <f>Psychologia!#REF!+Psychologia!#REF!</f>
        <v>#REF!</v>
      </c>
      <c r="M88" s="375" t="e">
        <f>Psychologia!#REF!+Psychologia!#REF!+Psychologia!#REF!+Psychologia!#REF!</f>
        <v>#REF!</v>
      </c>
      <c r="N88" s="376" t="e">
        <f>Psychologia!#REF!+Psychologia!#REF!</f>
        <v>#REF!</v>
      </c>
      <c r="O88" s="377" t="e">
        <f>Psychologia!#REF!+Psychologia!#REF!</f>
        <v>#REF!</v>
      </c>
      <c r="P88" s="378" t="e">
        <f>IF(Psychologia!#REF!&gt;0,Psychologia!#REF!," ")</f>
        <v>#REF!</v>
      </c>
      <c r="Q88" s="389">
        <f t="shared" si="20"/>
        <v>0</v>
      </c>
      <c r="R88" s="390">
        <f t="shared" si="21"/>
        <v>0</v>
      </c>
      <c r="S88" s="394">
        <f t="shared" si="22"/>
        <v>0</v>
      </c>
      <c r="T88" s="132"/>
      <c r="U88" s="131"/>
      <c r="V88" s="131"/>
      <c r="W88" s="131"/>
      <c r="X88" s="131"/>
      <c r="Y88" s="131"/>
      <c r="Z88" s="131"/>
      <c r="AA88" s="131"/>
      <c r="AB88" s="131"/>
      <c r="AC88" s="131"/>
      <c r="AD88" s="131"/>
      <c r="AE88" s="131"/>
      <c r="AF88" s="132"/>
      <c r="AG88" s="131"/>
      <c r="AH88" s="131"/>
      <c r="AI88" s="131"/>
      <c r="AJ88" s="131"/>
      <c r="AK88" s="131"/>
      <c r="AL88" s="131"/>
      <c r="AM88" s="131"/>
      <c r="AN88" s="131"/>
      <c r="AO88" s="131"/>
      <c r="AP88" s="131"/>
      <c r="AQ88" s="131"/>
      <c r="AR88" s="131"/>
      <c r="AS88" s="131"/>
      <c r="AT88" s="131"/>
      <c r="AU88" s="131"/>
      <c r="AV88" s="131"/>
      <c r="AW88" s="131"/>
      <c r="AX88" s="131"/>
      <c r="AY88" s="131"/>
      <c r="AZ88" s="131"/>
      <c r="BA88" s="131"/>
      <c r="BB88" s="131"/>
      <c r="BC88" s="131"/>
      <c r="BD88" s="348"/>
      <c r="BE88" s="348"/>
      <c r="BF88" s="348"/>
      <c r="BG88" s="348"/>
      <c r="BH88" s="144"/>
      <c r="BI88" s="136"/>
      <c r="BJ88" s="136"/>
      <c r="BK88" s="349"/>
      <c r="BL88" s="349"/>
      <c r="BM88" s="349"/>
      <c r="BN88" s="349"/>
      <c r="BO88" s="349"/>
      <c r="BP88" s="145"/>
      <c r="CE88" s="118"/>
      <c r="CF88" s="118"/>
      <c r="CG88" s="118"/>
      <c r="CH88" s="46"/>
    </row>
    <row r="89" spans="1:86" s="44" customFormat="1" ht="32.25" customHeight="1" x14ac:dyDescent="0.25">
      <c r="A89" s="46" t="e">
        <f>Psychologia!#REF!</f>
        <v>#REF!</v>
      </c>
      <c r="B89" s="127" t="e">
        <f>IF(Psychologia!#REF!&gt;0,Psychologia!#REF!," ")</f>
        <v>#REF!</v>
      </c>
      <c r="C89" s="128" t="e">
        <f>IF(Psychologia!#REF!&gt;0,Psychologia!#REF!," ")</f>
        <v>#REF!</v>
      </c>
      <c r="D89" s="128" t="e">
        <f>IF(Psychologia!#REF!&gt;0,Psychologia!#REF!," ")</f>
        <v>#REF!</v>
      </c>
      <c r="E89" s="127" t="e">
        <f>IF(Psychologia!#REF!&gt;0,Psychologia!#REF!," ")</f>
        <v>#REF!</v>
      </c>
      <c r="F89" s="32" t="e">
        <f>IF(Psychologia!#REF!&gt;0,Psychologia!#REF!," ")</f>
        <v>#REF!</v>
      </c>
      <c r="G89" s="32" t="e">
        <f>IF(Psychologia!#REF!&gt;0,Psychologia!#REF!," ")</f>
        <v>#REF!</v>
      </c>
      <c r="H89" s="122" t="e">
        <f>IF(Psychologia!#REF!&gt;0,Psychologia!#REF!," ")</f>
        <v>#REF!</v>
      </c>
      <c r="I89" s="122" t="e">
        <f>IF(Psychologia!#REF!&gt;0,Psychologia!#REF!," ")</f>
        <v>#REF!</v>
      </c>
      <c r="J89" s="372" t="e">
        <f>Psychologia!#REF!+Psychologia!#REF!</f>
        <v>#REF!</v>
      </c>
      <c r="K89" s="373" t="e">
        <f>Psychologia!#REF!+Psychologia!#REF!</f>
        <v>#REF!</v>
      </c>
      <c r="L89" s="374" t="e">
        <f>Psychologia!#REF!+Psychologia!#REF!</f>
        <v>#REF!</v>
      </c>
      <c r="M89" s="375" t="e">
        <f>Psychologia!#REF!+Psychologia!#REF!+Psychologia!#REF!+Psychologia!#REF!</f>
        <v>#REF!</v>
      </c>
      <c r="N89" s="376" t="e">
        <f>Psychologia!#REF!+Psychologia!#REF!</f>
        <v>#REF!</v>
      </c>
      <c r="O89" s="377" t="e">
        <f>Psychologia!#REF!+Psychologia!#REF!</f>
        <v>#REF!</v>
      </c>
      <c r="P89" s="378" t="e">
        <f>IF(Psychologia!#REF!&gt;0,Psychologia!#REF!," ")</f>
        <v>#REF!</v>
      </c>
      <c r="Q89" s="389">
        <f t="shared" si="20"/>
        <v>0</v>
      </c>
      <c r="R89" s="390">
        <f t="shared" si="21"/>
        <v>0</v>
      </c>
      <c r="S89" s="394">
        <f t="shared" si="22"/>
        <v>0</v>
      </c>
      <c r="T89" s="132"/>
      <c r="U89" s="131"/>
      <c r="V89" s="131"/>
      <c r="W89" s="131"/>
      <c r="X89" s="131"/>
      <c r="Y89" s="131"/>
      <c r="Z89" s="131"/>
      <c r="AA89" s="131"/>
      <c r="AB89" s="131"/>
      <c r="AC89" s="131"/>
      <c r="AD89" s="131"/>
      <c r="AE89" s="131"/>
      <c r="AF89" s="132"/>
      <c r="AG89" s="131"/>
      <c r="AH89" s="131"/>
      <c r="AI89" s="131"/>
      <c r="AJ89" s="131"/>
      <c r="AK89" s="131"/>
      <c r="AL89" s="131"/>
      <c r="AM89" s="131"/>
      <c r="AN89" s="131"/>
      <c r="AO89" s="131"/>
      <c r="AP89" s="131"/>
      <c r="AQ89" s="131"/>
      <c r="AR89" s="131"/>
      <c r="AS89" s="131"/>
      <c r="AT89" s="131"/>
      <c r="AU89" s="131"/>
      <c r="AV89" s="131"/>
      <c r="AW89" s="131"/>
      <c r="AX89" s="131"/>
      <c r="AY89" s="131"/>
      <c r="AZ89" s="131"/>
      <c r="BA89" s="131"/>
      <c r="BB89" s="131"/>
      <c r="BC89" s="131"/>
      <c r="BD89" s="348"/>
      <c r="BE89" s="348"/>
      <c r="BF89" s="348"/>
      <c r="BG89" s="348"/>
      <c r="BH89" s="144"/>
      <c r="BI89" s="136"/>
      <c r="BJ89" s="136"/>
      <c r="BK89" s="349"/>
      <c r="BL89" s="349"/>
      <c r="BM89" s="349"/>
      <c r="BN89" s="349"/>
      <c r="BO89" s="349"/>
      <c r="BP89" s="145"/>
      <c r="CE89" s="118"/>
      <c r="CF89" s="118"/>
      <c r="CG89" s="118"/>
      <c r="CH89" s="46"/>
    </row>
    <row r="90" spans="1:86" s="44" customFormat="1" ht="15.75" x14ac:dyDescent="0.25">
      <c r="A90" s="46" t="e">
        <f>Psychologia!#REF!</f>
        <v>#REF!</v>
      </c>
      <c r="B90" s="127" t="e">
        <f>IF(Psychologia!#REF!&gt;0,Psychologia!#REF!," ")</f>
        <v>#REF!</v>
      </c>
      <c r="C90" s="128" t="e">
        <f>IF(Psychologia!#REF!&gt;0,Psychologia!#REF!," ")</f>
        <v>#REF!</v>
      </c>
      <c r="D90" s="128" t="e">
        <f>IF(Psychologia!#REF!&gt;0,Psychologia!#REF!," ")</f>
        <v>#REF!</v>
      </c>
      <c r="E90" s="127" t="e">
        <f>IF(Psychologia!#REF!&gt;0,Psychologia!#REF!," ")</f>
        <v>#REF!</v>
      </c>
      <c r="F90" s="32" t="e">
        <f>IF(Psychologia!#REF!&gt;0,Psychologia!#REF!," ")</f>
        <v>#REF!</v>
      </c>
      <c r="G90" s="32" t="e">
        <f>IF(Psychologia!#REF!&gt;0,Psychologia!#REF!," ")</f>
        <v>#REF!</v>
      </c>
      <c r="H90" s="122" t="e">
        <f>IF(Psychologia!#REF!&gt;0,Psychologia!#REF!," ")</f>
        <v>#REF!</v>
      </c>
      <c r="I90" s="599" t="e">
        <f>IF(Psychologia!#REF!&gt;0,Psychologia!#REF!," ")</f>
        <v>#REF!</v>
      </c>
      <c r="J90" s="372" t="e">
        <f>Psychologia!#REF!+Psychologia!#REF!</f>
        <v>#REF!</v>
      </c>
      <c r="K90" s="373" t="e">
        <f>Psychologia!#REF!+Psychologia!#REF!</f>
        <v>#REF!</v>
      </c>
      <c r="L90" s="374" t="e">
        <f>Psychologia!#REF!+Psychologia!#REF!</f>
        <v>#REF!</v>
      </c>
      <c r="M90" s="375" t="e">
        <f>Psychologia!#REF!+Psychologia!#REF!+Psychologia!#REF!+Psychologia!#REF!</f>
        <v>#REF!</v>
      </c>
      <c r="N90" s="376" t="e">
        <f>Psychologia!#REF!+Psychologia!#REF!</f>
        <v>#REF!</v>
      </c>
      <c r="O90" s="377" t="e">
        <f>Psychologia!#REF!+Psychologia!#REF!</f>
        <v>#REF!</v>
      </c>
      <c r="P90" s="378" t="e">
        <f>IF(Psychologia!#REF!&gt;0,Psychologia!#REF!," ")</f>
        <v>#REF!</v>
      </c>
      <c r="Q90" s="389">
        <f t="shared" si="20"/>
        <v>0</v>
      </c>
      <c r="R90" s="390">
        <f t="shared" si="21"/>
        <v>0</v>
      </c>
      <c r="S90" s="394">
        <f t="shared" si="22"/>
        <v>0</v>
      </c>
      <c r="T90" s="132"/>
      <c r="U90" s="131"/>
      <c r="V90" s="131"/>
      <c r="W90" s="131"/>
      <c r="X90" s="131"/>
      <c r="Y90" s="131"/>
      <c r="Z90" s="131"/>
      <c r="AA90" s="131"/>
      <c r="AB90" s="131"/>
      <c r="AC90" s="131"/>
      <c r="AD90" s="131"/>
      <c r="AE90" s="131"/>
      <c r="AF90" s="132"/>
      <c r="AG90" s="131"/>
      <c r="AH90" s="131"/>
      <c r="AI90" s="131"/>
      <c r="AJ90" s="131"/>
      <c r="AK90" s="131"/>
      <c r="AL90" s="131"/>
      <c r="AM90" s="131"/>
      <c r="AN90" s="131"/>
      <c r="AO90" s="131"/>
      <c r="AP90" s="131"/>
      <c r="AQ90" s="131"/>
      <c r="AR90" s="131"/>
      <c r="AS90" s="131"/>
      <c r="AT90" s="131"/>
      <c r="AU90" s="131"/>
      <c r="AV90" s="131"/>
      <c r="AW90" s="131"/>
      <c r="AX90" s="131"/>
      <c r="AY90" s="131"/>
      <c r="AZ90" s="131"/>
      <c r="BA90" s="131"/>
      <c r="BB90" s="131"/>
      <c r="BC90" s="131"/>
      <c r="BD90" s="348"/>
      <c r="BE90" s="348"/>
      <c r="BF90" s="348"/>
      <c r="BG90" s="348"/>
      <c r="BH90" s="144"/>
      <c r="BI90" s="136"/>
      <c r="BJ90" s="136"/>
      <c r="BK90" s="349"/>
      <c r="BL90" s="349"/>
      <c r="BM90" s="349"/>
      <c r="BN90" s="349"/>
      <c r="BO90" s="349"/>
      <c r="BP90" s="145"/>
      <c r="CE90" s="118"/>
      <c r="CF90" s="118"/>
      <c r="CG90" s="118"/>
      <c r="CH90" s="46"/>
    </row>
    <row r="91" spans="1:86" s="44" customFormat="1" ht="15.75" x14ac:dyDescent="0.25">
      <c r="A91" s="46" t="e">
        <f>Psychologia!#REF!</f>
        <v>#REF!</v>
      </c>
      <c r="B91" s="127" t="e">
        <f>IF(Psychologia!#REF!&gt;0,Psychologia!#REF!," ")</f>
        <v>#REF!</v>
      </c>
      <c r="C91" s="128" t="e">
        <f>IF(Psychologia!#REF!&gt;0,Psychologia!#REF!," ")</f>
        <v>#REF!</v>
      </c>
      <c r="D91" s="128" t="e">
        <f>IF(Psychologia!#REF!&gt;0,Psychologia!#REF!," ")</f>
        <v>#REF!</v>
      </c>
      <c r="E91" s="127" t="e">
        <f>IF(Psychologia!#REF!&gt;0,Psychologia!#REF!," ")</f>
        <v>#REF!</v>
      </c>
      <c r="F91" s="32" t="e">
        <f>IF(Psychologia!#REF!&gt;0,Psychologia!#REF!," ")</f>
        <v>#REF!</v>
      </c>
      <c r="G91" s="32" t="e">
        <f>IF(Psychologia!#REF!&gt;0,Psychologia!#REF!," ")</f>
        <v>#REF!</v>
      </c>
      <c r="H91" s="122" t="e">
        <f>IF(Psychologia!#REF!&gt;0,Psychologia!#REF!," ")</f>
        <v>#REF!</v>
      </c>
      <c r="I91" s="599" t="e">
        <f>IF(Psychologia!#REF!&gt;0,Psychologia!#REF!," ")</f>
        <v>#REF!</v>
      </c>
      <c r="J91" s="372" t="e">
        <f>Psychologia!#REF!+Psychologia!#REF!</f>
        <v>#REF!</v>
      </c>
      <c r="K91" s="373" t="e">
        <f>Psychologia!#REF!+Psychologia!#REF!</f>
        <v>#REF!</v>
      </c>
      <c r="L91" s="374" t="e">
        <f>Psychologia!#REF!+Psychologia!#REF!</f>
        <v>#REF!</v>
      </c>
      <c r="M91" s="375" t="e">
        <f>Psychologia!#REF!+Psychologia!#REF!+Psychologia!#REF!+Psychologia!#REF!</f>
        <v>#REF!</v>
      </c>
      <c r="N91" s="376" t="e">
        <f>Psychologia!#REF!+Psychologia!#REF!</f>
        <v>#REF!</v>
      </c>
      <c r="O91" s="377" t="e">
        <f>Psychologia!#REF!+Psychologia!#REF!</f>
        <v>#REF!</v>
      </c>
      <c r="P91" s="378" t="e">
        <f>IF(Psychologia!#REF!&gt;0,Psychologia!#REF!," ")</f>
        <v>#REF!</v>
      </c>
      <c r="Q91" s="389">
        <f t="shared" si="20"/>
        <v>0</v>
      </c>
      <c r="R91" s="390">
        <f t="shared" si="21"/>
        <v>0</v>
      </c>
      <c r="S91" s="394">
        <f t="shared" si="22"/>
        <v>0</v>
      </c>
      <c r="T91" s="132"/>
      <c r="U91" s="131"/>
      <c r="V91" s="131"/>
      <c r="W91" s="131"/>
      <c r="X91" s="131"/>
      <c r="Y91" s="131"/>
      <c r="Z91" s="131"/>
      <c r="AA91" s="131"/>
      <c r="AB91" s="131"/>
      <c r="AC91" s="131"/>
      <c r="AD91" s="131"/>
      <c r="AE91" s="131"/>
      <c r="AF91" s="132"/>
      <c r="AG91" s="131"/>
      <c r="AH91" s="131"/>
      <c r="AI91" s="131"/>
      <c r="AJ91" s="131"/>
      <c r="AK91" s="131"/>
      <c r="AL91" s="131"/>
      <c r="AM91" s="131"/>
      <c r="AN91" s="131"/>
      <c r="AO91" s="131"/>
      <c r="AP91" s="131"/>
      <c r="AQ91" s="131"/>
      <c r="AR91" s="131"/>
      <c r="AS91" s="131"/>
      <c r="AT91" s="131"/>
      <c r="AU91" s="131"/>
      <c r="AV91" s="131"/>
      <c r="AW91" s="131"/>
      <c r="AX91" s="131"/>
      <c r="AY91" s="131"/>
      <c r="AZ91" s="131"/>
      <c r="BA91" s="131"/>
      <c r="BB91" s="131"/>
      <c r="BC91" s="131"/>
      <c r="BD91" s="348"/>
      <c r="BE91" s="348"/>
      <c r="BF91" s="348"/>
      <c r="BG91" s="348"/>
      <c r="BH91" s="144"/>
      <c r="BI91" s="136"/>
      <c r="BJ91" s="136"/>
      <c r="BK91" s="349"/>
      <c r="BL91" s="349"/>
      <c r="BM91" s="349"/>
      <c r="BN91" s="349"/>
      <c r="BO91" s="349"/>
      <c r="BP91" s="145"/>
      <c r="CE91" s="118"/>
      <c r="CF91" s="118"/>
      <c r="CG91" s="118"/>
      <c r="CH91" s="46"/>
    </row>
    <row r="92" spans="1:86" s="44" customFormat="1" ht="15.75" x14ac:dyDescent="0.25">
      <c r="A92" s="46" t="e">
        <f>Psychologia!#REF!</f>
        <v>#REF!</v>
      </c>
      <c r="B92" s="127" t="e">
        <f>IF(Psychologia!#REF!&gt;0,Psychologia!#REF!," ")</f>
        <v>#REF!</v>
      </c>
      <c r="C92" s="128" t="e">
        <f>IF(Psychologia!#REF!&gt;0,Psychologia!#REF!," ")</f>
        <v>#REF!</v>
      </c>
      <c r="D92" s="128" t="e">
        <f>IF(Psychologia!#REF!&gt;0,Psychologia!#REF!," ")</f>
        <v>#REF!</v>
      </c>
      <c r="E92" s="127" t="e">
        <f>IF(Psychologia!#REF!&gt;0,Psychologia!#REF!," ")</f>
        <v>#REF!</v>
      </c>
      <c r="F92" s="32" t="e">
        <f>IF(Psychologia!#REF!&gt;0,Psychologia!#REF!," ")</f>
        <v>#REF!</v>
      </c>
      <c r="G92" s="32" t="e">
        <f>IF(Psychologia!#REF!&gt;0,Psychologia!#REF!," ")</f>
        <v>#REF!</v>
      </c>
      <c r="H92" s="122" t="e">
        <f>IF(Psychologia!#REF!&gt;0,Psychologia!#REF!," ")</f>
        <v>#REF!</v>
      </c>
      <c r="I92" s="599" t="e">
        <f>IF(Psychologia!#REF!&gt;0,Psychologia!#REF!," ")</f>
        <v>#REF!</v>
      </c>
      <c r="J92" s="372" t="e">
        <f>Psychologia!#REF!+Psychologia!#REF!</f>
        <v>#REF!</v>
      </c>
      <c r="K92" s="373" t="e">
        <f>Psychologia!#REF!+Psychologia!#REF!</f>
        <v>#REF!</v>
      </c>
      <c r="L92" s="374" t="e">
        <f>Psychologia!#REF!+Psychologia!#REF!</f>
        <v>#REF!</v>
      </c>
      <c r="M92" s="375" t="e">
        <f>Psychologia!#REF!+Psychologia!#REF!+Psychologia!#REF!+Psychologia!#REF!</f>
        <v>#REF!</v>
      </c>
      <c r="N92" s="376" t="e">
        <f>Psychologia!#REF!+Psychologia!#REF!</f>
        <v>#REF!</v>
      </c>
      <c r="O92" s="377" t="e">
        <f>Psychologia!#REF!+Psychologia!#REF!</f>
        <v>#REF!</v>
      </c>
      <c r="P92" s="378" t="e">
        <f>IF(Psychologia!#REF!&gt;0,Psychologia!#REF!," ")</f>
        <v>#REF!</v>
      </c>
      <c r="Q92" s="389">
        <f t="shared" si="20"/>
        <v>0</v>
      </c>
      <c r="R92" s="390">
        <f t="shared" si="21"/>
        <v>0</v>
      </c>
      <c r="S92" s="394">
        <f t="shared" si="22"/>
        <v>0</v>
      </c>
      <c r="T92" s="132"/>
      <c r="U92" s="131"/>
      <c r="V92" s="131"/>
      <c r="W92" s="131"/>
      <c r="X92" s="131"/>
      <c r="Y92" s="131"/>
      <c r="Z92" s="131"/>
      <c r="AA92" s="131"/>
      <c r="AB92" s="131"/>
      <c r="AC92" s="131"/>
      <c r="AD92" s="131"/>
      <c r="AE92" s="131"/>
      <c r="AF92" s="132"/>
      <c r="AG92" s="131"/>
      <c r="AH92" s="131"/>
      <c r="AI92" s="131"/>
      <c r="AJ92" s="131"/>
      <c r="AK92" s="131"/>
      <c r="AL92" s="131"/>
      <c r="AM92" s="131"/>
      <c r="AN92" s="131"/>
      <c r="AO92" s="131"/>
      <c r="AP92" s="131"/>
      <c r="AQ92" s="131"/>
      <c r="AR92" s="131"/>
      <c r="AS92" s="131"/>
      <c r="AT92" s="131"/>
      <c r="AU92" s="131"/>
      <c r="AV92" s="131"/>
      <c r="AW92" s="131"/>
      <c r="AX92" s="131"/>
      <c r="AY92" s="131"/>
      <c r="AZ92" s="131"/>
      <c r="BA92" s="131"/>
      <c r="BB92" s="131"/>
      <c r="BC92" s="131"/>
      <c r="BD92" s="348"/>
      <c r="BE92" s="348"/>
      <c r="BF92" s="348"/>
      <c r="BG92" s="348"/>
      <c r="BH92" s="144"/>
      <c r="BI92" s="136"/>
      <c r="BJ92" s="136"/>
      <c r="BK92" s="349"/>
      <c r="BL92" s="349"/>
      <c r="BM92" s="349"/>
      <c r="BN92" s="349"/>
      <c r="BO92" s="349"/>
      <c r="BP92" s="145"/>
      <c r="CE92" s="118"/>
      <c r="CF92" s="118"/>
      <c r="CG92" s="118"/>
      <c r="CH92" s="46"/>
    </row>
    <row r="93" spans="1:86" s="44" customFormat="1" ht="32.25" customHeight="1" x14ac:dyDescent="0.25">
      <c r="A93" s="46" t="e">
        <f>Psychologia!#REF!</f>
        <v>#REF!</v>
      </c>
      <c r="B93" s="127" t="e">
        <f>IF(Psychologia!#REF!&gt;0,Psychologia!#REF!," ")</f>
        <v>#REF!</v>
      </c>
      <c r="C93" s="128" t="e">
        <f>IF(Psychologia!#REF!&gt;0,Psychologia!#REF!," ")</f>
        <v>#REF!</v>
      </c>
      <c r="D93" s="128" t="e">
        <f>IF(Psychologia!#REF!&gt;0,Psychologia!#REF!," ")</f>
        <v>#REF!</v>
      </c>
      <c r="E93" s="127" t="e">
        <f>IF(Psychologia!#REF!&gt;0,Psychologia!#REF!," ")</f>
        <v>#REF!</v>
      </c>
      <c r="F93" s="32" t="e">
        <f>IF(Psychologia!#REF!&gt;0,Psychologia!#REF!," ")</f>
        <v>#REF!</v>
      </c>
      <c r="G93" s="32" t="e">
        <f>IF(Psychologia!#REF!&gt;0,Psychologia!#REF!," ")</f>
        <v>#REF!</v>
      </c>
      <c r="H93" s="122" t="e">
        <f>IF(Psychologia!#REF!&gt;0,Psychologia!#REF!," ")</f>
        <v>#REF!</v>
      </c>
      <c r="I93" s="122" t="e">
        <f>IF(Psychologia!#REF!&gt;0,Psychologia!#REF!," ")</f>
        <v>#REF!</v>
      </c>
      <c r="J93" s="372" t="e">
        <f>Psychologia!#REF!+Psychologia!#REF!</f>
        <v>#REF!</v>
      </c>
      <c r="K93" s="373" t="e">
        <f>Psychologia!#REF!+Psychologia!#REF!</f>
        <v>#REF!</v>
      </c>
      <c r="L93" s="374" t="e">
        <f>Psychologia!#REF!+Psychologia!#REF!</f>
        <v>#REF!</v>
      </c>
      <c r="M93" s="375" t="e">
        <f>Psychologia!#REF!+Psychologia!#REF!+Psychologia!#REF!+Psychologia!#REF!</f>
        <v>#REF!</v>
      </c>
      <c r="N93" s="376" t="e">
        <f>Psychologia!#REF!+Psychologia!#REF!</f>
        <v>#REF!</v>
      </c>
      <c r="O93" s="377" t="e">
        <f>Psychologia!#REF!+Psychologia!#REF!</f>
        <v>#REF!</v>
      </c>
      <c r="P93" s="378" t="e">
        <f>IF(Psychologia!#REF!&gt;0,Psychologia!#REF!," ")</f>
        <v>#REF!</v>
      </c>
      <c r="Q93" s="389">
        <f t="shared" si="20"/>
        <v>0</v>
      </c>
      <c r="R93" s="390">
        <f t="shared" si="21"/>
        <v>0</v>
      </c>
      <c r="S93" s="394">
        <f t="shared" si="22"/>
        <v>0</v>
      </c>
      <c r="T93" s="132"/>
      <c r="U93" s="131"/>
      <c r="V93" s="131"/>
      <c r="W93" s="131"/>
      <c r="X93" s="131"/>
      <c r="Y93" s="131"/>
      <c r="Z93" s="131"/>
      <c r="AA93" s="131"/>
      <c r="AB93" s="131"/>
      <c r="AC93" s="131"/>
      <c r="AD93" s="131"/>
      <c r="AE93" s="131"/>
      <c r="AF93" s="132"/>
      <c r="AG93" s="131"/>
      <c r="AH93" s="131"/>
      <c r="AI93" s="131"/>
      <c r="AJ93" s="131"/>
      <c r="AK93" s="131"/>
      <c r="AL93" s="131"/>
      <c r="AM93" s="131"/>
      <c r="AN93" s="131"/>
      <c r="AO93" s="131"/>
      <c r="AP93" s="131"/>
      <c r="AQ93" s="131"/>
      <c r="AR93" s="131"/>
      <c r="AS93" s="131"/>
      <c r="AT93" s="131"/>
      <c r="AU93" s="131"/>
      <c r="AV93" s="131"/>
      <c r="AW93" s="131"/>
      <c r="AX93" s="131"/>
      <c r="AY93" s="131"/>
      <c r="AZ93" s="131"/>
      <c r="BA93" s="131"/>
      <c r="BB93" s="131"/>
      <c r="BC93" s="131"/>
      <c r="BD93" s="348"/>
      <c r="BE93" s="348"/>
      <c r="BF93" s="348"/>
      <c r="BG93" s="348"/>
      <c r="BH93" s="144"/>
      <c r="BI93" s="136"/>
      <c r="BJ93" s="136"/>
      <c r="BK93" s="349"/>
      <c r="BL93" s="349"/>
      <c r="BM93" s="349"/>
      <c r="BN93" s="349"/>
      <c r="BO93" s="349"/>
      <c r="BP93" s="145"/>
      <c r="CE93" s="118"/>
      <c r="CF93" s="118"/>
      <c r="CG93" s="118"/>
      <c r="CH93" s="46"/>
    </row>
    <row r="94" spans="1:86" s="44" customFormat="1" ht="32.25" customHeight="1" x14ac:dyDescent="0.25">
      <c r="A94" s="46" t="e">
        <f>Psychologia!#REF!</f>
        <v>#REF!</v>
      </c>
      <c r="B94" s="127" t="e">
        <f>IF(Psychologia!#REF!&gt;0,Psychologia!#REF!," ")</f>
        <v>#REF!</v>
      </c>
      <c r="C94" s="128" t="e">
        <f>IF(Psychologia!#REF!&gt;0,Psychologia!#REF!," ")</f>
        <v>#REF!</v>
      </c>
      <c r="D94" s="128" t="e">
        <f>IF(Psychologia!#REF!&gt;0,Psychologia!#REF!," ")</f>
        <v>#REF!</v>
      </c>
      <c r="E94" s="127" t="e">
        <f>IF(Psychologia!#REF!&gt;0,Psychologia!#REF!," ")</f>
        <v>#REF!</v>
      </c>
      <c r="F94" s="32" t="e">
        <f>IF(Psychologia!#REF!&gt;0,Psychologia!#REF!," ")</f>
        <v>#REF!</v>
      </c>
      <c r="G94" s="32" t="e">
        <f>IF(Psychologia!#REF!&gt;0,Psychologia!#REF!," ")</f>
        <v>#REF!</v>
      </c>
      <c r="H94" s="122" t="e">
        <f>IF(Psychologia!#REF!&gt;0,Psychologia!#REF!," ")</f>
        <v>#REF!</v>
      </c>
      <c r="I94" s="122" t="e">
        <f>IF(Psychologia!#REF!&gt;0,Psychologia!#REF!," ")</f>
        <v>#REF!</v>
      </c>
      <c r="J94" s="372" t="e">
        <f>Psychologia!#REF!+Psychologia!#REF!</f>
        <v>#REF!</v>
      </c>
      <c r="K94" s="373" t="e">
        <f>Psychologia!#REF!+Psychologia!#REF!</f>
        <v>#REF!</v>
      </c>
      <c r="L94" s="374" t="e">
        <f>Psychologia!#REF!+Psychologia!#REF!</f>
        <v>#REF!</v>
      </c>
      <c r="M94" s="375" t="e">
        <f>Psychologia!#REF!+Psychologia!#REF!+Psychologia!#REF!+Psychologia!#REF!</f>
        <v>#REF!</v>
      </c>
      <c r="N94" s="376" t="e">
        <f>Psychologia!#REF!+Psychologia!#REF!</f>
        <v>#REF!</v>
      </c>
      <c r="O94" s="377" t="e">
        <f>Psychologia!#REF!+Psychologia!#REF!</f>
        <v>#REF!</v>
      </c>
      <c r="P94" s="378" t="e">
        <f>IF(Psychologia!#REF!&gt;0,Psychologia!#REF!," ")</f>
        <v>#REF!</v>
      </c>
      <c r="Q94" s="389">
        <f t="shared" si="20"/>
        <v>0</v>
      </c>
      <c r="R94" s="390">
        <f t="shared" si="21"/>
        <v>0</v>
      </c>
      <c r="S94" s="394">
        <f t="shared" si="22"/>
        <v>0</v>
      </c>
      <c r="T94" s="132"/>
      <c r="U94" s="131"/>
      <c r="V94" s="131"/>
      <c r="W94" s="131"/>
      <c r="X94" s="131"/>
      <c r="Y94" s="131"/>
      <c r="Z94" s="131"/>
      <c r="AA94" s="131"/>
      <c r="AB94" s="131"/>
      <c r="AC94" s="131"/>
      <c r="AD94" s="131"/>
      <c r="AE94" s="131"/>
      <c r="AF94" s="132"/>
      <c r="AG94" s="131"/>
      <c r="AH94" s="131"/>
      <c r="AI94" s="131"/>
      <c r="AJ94" s="131"/>
      <c r="AK94" s="131"/>
      <c r="AL94" s="131"/>
      <c r="AM94" s="131"/>
      <c r="AN94" s="131"/>
      <c r="AO94" s="131"/>
      <c r="AP94" s="131"/>
      <c r="AQ94" s="131"/>
      <c r="AR94" s="131"/>
      <c r="AS94" s="131"/>
      <c r="AT94" s="131"/>
      <c r="AU94" s="131"/>
      <c r="AV94" s="131"/>
      <c r="AW94" s="131"/>
      <c r="AX94" s="131"/>
      <c r="AY94" s="131"/>
      <c r="AZ94" s="131"/>
      <c r="BA94" s="131"/>
      <c r="BB94" s="131"/>
      <c r="BC94" s="131"/>
      <c r="BD94" s="348"/>
      <c r="BE94" s="348"/>
      <c r="BF94" s="348"/>
      <c r="BG94" s="348"/>
      <c r="BH94" s="144"/>
      <c r="BI94" s="136"/>
      <c r="BJ94" s="136"/>
      <c r="BK94" s="349"/>
      <c r="BL94" s="349"/>
      <c r="BM94" s="349"/>
      <c r="BN94" s="349"/>
      <c r="BO94" s="349"/>
      <c r="BP94" s="145"/>
      <c r="CE94" s="118"/>
      <c r="CF94" s="118"/>
      <c r="CG94" s="118"/>
      <c r="CH94" s="46"/>
    </row>
    <row r="95" spans="1:86" s="44" customFormat="1" ht="32.25" customHeight="1" x14ac:dyDescent="0.25">
      <c r="A95" s="46" t="e">
        <f>Psychologia!#REF!</f>
        <v>#REF!</v>
      </c>
      <c r="B95" s="127" t="e">
        <f>IF(Psychologia!#REF!&gt;0,Psychologia!#REF!," ")</f>
        <v>#REF!</v>
      </c>
      <c r="C95" s="128" t="e">
        <f>IF(Psychologia!#REF!&gt;0,Psychologia!#REF!," ")</f>
        <v>#REF!</v>
      </c>
      <c r="D95" s="128" t="e">
        <f>IF(Psychologia!#REF!&gt;0,Psychologia!#REF!," ")</f>
        <v>#REF!</v>
      </c>
      <c r="E95" s="127" t="e">
        <f>IF(Psychologia!#REF!&gt;0,Psychologia!#REF!," ")</f>
        <v>#REF!</v>
      </c>
      <c r="F95" s="32" t="e">
        <f>IF(Psychologia!#REF!&gt;0,Psychologia!#REF!," ")</f>
        <v>#REF!</v>
      </c>
      <c r="G95" s="32" t="e">
        <f>IF(Psychologia!#REF!&gt;0,Psychologia!#REF!," ")</f>
        <v>#REF!</v>
      </c>
      <c r="H95" s="122" t="e">
        <f>IF(Psychologia!#REF!&gt;0,Psychologia!#REF!," ")</f>
        <v>#REF!</v>
      </c>
      <c r="I95" s="122" t="e">
        <f>IF(Psychologia!#REF!&gt;0,Psychologia!#REF!," ")</f>
        <v>#REF!</v>
      </c>
      <c r="J95" s="372" t="e">
        <f>Psychologia!#REF!+Psychologia!#REF!</f>
        <v>#REF!</v>
      </c>
      <c r="K95" s="373" t="e">
        <f>Psychologia!#REF!+Psychologia!#REF!</f>
        <v>#REF!</v>
      </c>
      <c r="L95" s="374" t="e">
        <f>Psychologia!#REF!+Psychologia!#REF!</f>
        <v>#REF!</v>
      </c>
      <c r="M95" s="375" t="e">
        <f>Psychologia!#REF!+Psychologia!#REF!+Psychologia!#REF!+Psychologia!#REF!</f>
        <v>#REF!</v>
      </c>
      <c r="N95" s="376" t="e">
        <f>Psychologia!#REF!+Psychologia!#REF!</f>
        <v>#REF!</v>
      </c>
      <c r="O95" s="377" t="e">
        <f>Psychologia!#REF!+Psychologia!#REF!</f>
        <v>#REF!</v>
      </c>
      <c r="P95" s="378" t="e">
        <f>IF(Psychologia!#REF!&gt;0,Psychologia!#REF!," ")</f>
        <v>#REF!</v>
      </c>
      <c r="Q95" s="389">
        <f t="shared" si="20"/>
        <v>0</v>
      </c>
      <c r="R95" s="390">
        <f t="shared" si="21"/>
        <v>0</v>
      </c>
      <c r="S95" s="394">
        <f t="shared" si="22"/>
        <v>0</v>
      </c>
      <c r="T95" s="132"/>
      <c r="U95" s="131"/>
      <c r="V95" s="131"/>
      <c r="W95" s="131"/>
      <c r="X95" s="131"/>
      <c r="Y95" s="131"/>
      <c r="Z95" s="131"/>
      <c r="AA95" s="131"/>
      <c r="AB95" s="131"/>
      <c r="AC95" s="131"/>
      <c r="AD95" s="131"/>
      <c r="AE95" s="131"/>
      <c r="AF95" s="132"/>
      <c r="AG95" s="131"/>
      <c r="AH95" s="131"/>
      <c r="AI95" s="131"/>
      <c r="AJ95" s="131"/>
      <c r="AK95" s="131"/>
      <c r="AL95" s="131"/>
      <c r="AM95" s="131"/>
      <c r="AN95" s="131"/>
      <c r="AO95" s="131"/>
      <c r="AP95" s="131"/>
      <c r="AQ95" s="131"/>
      <c r="AR95" s="131"/>
      <c r="AS95" s="131"/>
      <c r="AT95" s="131"/>
      <c r="AU95" s="131"/>
      <c r="AV95" s="131"/>
      <c r="AW95" s="131"/>
      <c r="AX95" s="131"/>
      <c r="AY95" s="131"/>
      <c r="AZ95" s="131"/>
      <c r="BA95" s="131"/>
      <c r="BB95" s="131"/>
      <c r="BC95" s="131"/>
      <c r="BD95" s="348"/>
      <c r="BE95" s="348"/>
      <c r="BF95" s="348"/>
      <c r="BG95" s="348"/>
      <c r="BH95" s="144"/>
      <c r="BI95" s="136"/>
      <c r="BJ95" s="136"/>
      <c r="BK95" s="349"/>
      <c r="BL95" s="349"/>
      <c r="BM95" s="349"/>
      <c r="BN95" s="349"/>
      <c r="BO95" s="349"/>
      <c r="BP95" s="145"/>
      <c r="CE95" s="118"/>
      <c r="CF95" s="118"/>
      <c r="CG95" s="118"/>
      <c r="CH95" s="46"/>
    </row>
    <row r="96" spans="1:86" s="44" customFormat="1" ht="42.75" customHeight="1" x14ac:dyDescent="0.25">
      <c r="A96" s="46" t="e">
        <f>Psychologia!#REF!</f>
        <v>#REF!</v>
      </c>
      <c r="B96" s="127" t="e">
        <f>IF(Psychologia!#REF!&gt;0,Psychologia!#REF!," ")</f>
        <v>#REF!</v>
      </c>
      <c r="C96" s="128" t="e">
        <f>IF(Psychologia!#REF!&gt;0,Psychologia!#REF!," ")</f>
        <v>#REF!</v>
      </c>
      <c r="D96" s="128" t="e">
        <f>IF(Psychologia!#REF!&gt;0,Psychologia!#REF!," ")</f>
        <v>#REF!</v>
      </c>
      <c r="E96" s="127" t="e">
        <f>IF(Psychologia!#REF!&gt;0,Psychologia!#REF!," ")</f>
        <v>#REF!</v>
      </c>
      <c r="F96" s="32" t="e">
        <f>IF(Psychologia!#REF!&gt;0,Psychologia!#REF!," ")</f>
        <v>#REF!</v>
      </c>
      <c r="G96" s="32" t="e">
        <f>IF(Psychologia!#REF!&gt;0,Psychologia!#REF!," ")</f>
        <v>#REF!</v>
      </c>
      <c r="H96" s="122" t="e">
        <f>IF(Psychologia!#REF!&gt;0,Psychologia!#REF!," ")</f>
        <v>#REF!</v>
      </c>
      <c r="I96" s="122" t="e">
        <f>IF(Psychologia!#REF!&gt;0,Psychologia!#REF!," ")</f>
        <v>#REF!</v>
      </c>
      <c r="J96" s="372" t="e">
        <f>Psychologia!#REF!+Psychologia!#REF!</f>
        <v>#REF!</v>
      </c>
      <c r="K96" s="373" t="e">
        <f>Psychologia!#REF!+Psychologia!#REF!</f>
        <v>#REF!</v>
      </c>
      <c r="L96" s="374" t="e">
        <f>Psychologia!#REF!+Psychologia!#REF!</f>
        <v>#REF!</v>
      </c>
      <c r="M96" s="375" t="e">
        <f>Psychologia!#REF!+Psychologia!#REF!+Psychologia!#REF!+Psychologia!#REF!</f>
        <v>#REF!</v>
      </c>
      <c r="N96" s="376" t="e">
        <f>Psychologia!#REF!+Psychologia!#REF!</f>
        <v>#REF!</v>
      </c>
      <c r="O96" s="377" t="e">
        <f>Psychologia!#REF!+Psychologia!#REF!</f>
        <v>#REF!</v>
      </c>
      <c r="P96" s="378" t="e">
        <f>IF(Psychologia!#REF!&gt;0,Psychologia!#REF!," ")</f>
        <v>#REF!</v>
      </c>
      <c r="Q96" s="389">
        <f t="shared" si="20"/>
        <v>0</v>
      </c>
      <c r="R96" s="390">
        <f t="shared" si="21"/>
        <v>0</v>
      </c>
      <c r="S96" s="394">
        <f t="shared" si="22"/>
        <v>0</v>
      </c>
      <c r="T96" s="132"/>
      <c r="U96" s="131"/>
      <c r="V96" s="131"/>
      <c r="W96" s="131"/>
      <c r="X96" s="131"/>
      <c r="Y96" s="131"/>
      <c r="Z96" s="131"/>
      <c r="AA96" s="131"/>
      <c r="AB96" s="131"/>
      <c r="AC96" s="131"/>
      <c r="AD96" s="131"/>
      <c r="AE96" s="131"/>
      <c r="AF96" s="132"/>
      <c r="AG96" s="131"/>
      <c r="AH96" s="131"/>
      <c r="AI96" s="131"/>
      <c r="AJ96" s="131"/>
      <c r="AK96" s="131"/>
      <c r="AL96" s="131"/>
      <c r="AM96" s="131"/>
      <c r="AN96" s="131"/>
      <c r="AO96" s="131"/>
      <c r="AP96" s="131"/>
      <c r="AQ96" s="131"/>
      <c r="AR96" s="131"/>
      <c r="AS96" s="131"/>
      <c r="AT96" s="131"/>
      <c r="AU96" s="131"/>
      <c r="AV96" s="131"/>
      <c r="AW96" s="131"/>
      <c r="AX96" s="131"/>
      <c r="AY96" s="131"/>
      <c r="AZ96" s="131"/>
      <c r="BA96" s="131"/>
      <c r="BB96" s="131"/>
      <c r="BC96" s="131"/>
      <c r="BD96" s="348"/>
      <c r="BE96" s="348"/>
      <c r="BF96" s="348"/>
      <c r="BG96" s="348"/>
      <c r="BH96" s="144"/>
      <c r="BI96" s="136"/>
      <c r="BJ96" s="136"/>
      <c r="BK96" s="349"/>
      <c r="BL96" s="349"/>
      <c r="BM96" s="349"/>
      <c r="BN96" s="349"/>
      <c r="BO96" s="349"/>
      <c r="BP96" s="145"/>
      <c r="CE96" s="118"/>
      <c r="CF96" s="118"/>
      <c r="CG96" s="118"/>
      <c r="CH96" s="46"/>
    </row>
    <row r="97" spans="1:86" s="44" customFormat="1" ht="32.25" customHeight="1" x14ac:dyDescent="0.25">
      <c r="A97" s="986">
        <f>Psychologia!A94</f>
        <v>72</v>
      </c>
      <c r="B97" s="987" t="str">
        <f>IF(Psychologia!B94&gt;0,Psychologia!B94," ")</f>
        <v xml:space="preserve"> </v>
      </c>
      <c r="C97" s="988" t="str">
        <f>IF(Psychologia!C94&gt;0,Psychologia!C94," ")</f>
        <v>2026/2027</v>
      </c>
      <c r="D97" s="988" t="str">
        <f>IF(Psychologia!D94&gt;0,Psychologia!D94," ")</f>
        <v>PK</v>
      </c>
      <c r="E97" s="987">
        <f>IF(Psychologia!E94&gt;0,Psychologia!E94," ")</f>
        <v>4</v>
      </c>
      <c r="F97" s="989" t="str">
        <f>IF(Psychologia!F94&gt;0,Psychologia!F94," ")</f>
        <v>2029/2030</v>
      </c>
      <c r="G97" s="989" t="str">
        <f>IF(Psychologia!G94&gt;0,Psychologia!G94," ")</f>
        <v>POW</v>
      </c>
      <c r="H97" s="990" t="str">
        <f>IF(Psychologia!H94&gt;0,Psychologia!H94," ")</f>
        <v xml:space="preserve"> </v>
      </c>
      <c r="I97" s="990" t="str">
        <f>IF(Psychologia!I94&gt;0,Psychologia!I94," ")</f>
        <v>Psychologia uzależnień</v>
      </c>
      <c r="J97" s="372">
        <f>Psychologia!Y94+Psychologia!AV94</f>
        <v>75</v>
      </c>
      <c r="K97" s="373">
        <f>Psychologia!AS94+Psychologia!BP94</f>
        <v>30</v>
      </c>
      <c r="L97" s="374">
        <f>Psychologia!Z94+Psychologia!AW94</f>
        <v>45</v>
      </c>
      <c r="M97" s="375">
        <f>Psychologia!AB94+Psychologia!AD94+Psychologia!AY94+Psychologia!BA94</f>
        <v>10</v>
      </c>
      <c r="N97" s="376">
        <f>Psychologia!AA94+Psychologia!AX94</f>
        <v>45</v>
      </c>
      <c r="O97" s="377">
        <f>Psychologia!X94+Psychologia!AU94</f>
        <v>3</v>
      </c>
      <c r="P97" s="378" t="str">
        <f>IF(Psychologia!V94&gt;0,Psychologia!V94," ")</f>
        <v>egz</v>
      </c>
      <c r="Q97" s="389">
        <f t="shared" si="20"/>
        <v>0</v>
      </c>
      <c r="R97" s="390">
        <f t="shared" si="21"/>
        <v>0</v>
      </c>
      <c r="S97" s="394">
        <f t="shared" si="22"/>
        <v>0</v>
      </c>
      <c r="T97" s="978"/>
      <c r="U97" s="979"/>
      <c r="V97" s="979"/>
      <c r="W97" s="979"/>
      <c r="X97" s="979"/>
      <c r="Y97" s="979"/>
      <c r="Z97" s="979"/>
      <c r="AA97" s="979"/>
      <c r="AB97" s="979"/>
      <c r="AC97" s="979"/>
      <c r="AD97" s="979"/>
      <c r="AE97" s="979"/>
      <c r="AF97" s="978"/>
      <c r="AG97" s="979"/>
      <c r="AH97" s="979"/>
      <c r="AI97" s="979"/>
      <c r="AJ97" s="979"/>
      <c r="AK97" s="979"/>
      <c r="AL97" s="979"/>
      <c r="AM97" s="979"/>
      <c r="AN97" s="979"/>
      <c r="AO97" s="979"/>
      <c r="AP97" s="979"/>
      <c r="AQ97" s="979"/>
      <c r="AR97" s="979"/>
      <c r="AS97" s="979"/>
      <c r="AT97" s="979"/>
      <c r="AU97" s="979"/>
      <c r="AV97" s="979"/>
      <c r="AW97" s="979"/>
      <c r="AX97" s="979"/>
      <c r="AY97" s="979"/>
      <c r="AZ97" s="979"/>
      <c r="BA97" s="979"/>
      <c r="BB97" s="979"/>
      <c r="BC97" s="979"/>
      <c r="BD97" s="980"/>
      <c r="BE97" s="980"/>
      <c r="BF97" s="980"/>
      <c r="BG97" s="980"/>
      <c r="BH97" s="981"/>
      <c r="BI97" s="982"/>
      <c r="BJ97" s="982"/>
      <c r="BK97" s="983"/>
      <c r="BL97" s="983"/>
      <c r="BM97" s="983"/>
      <c r="BN97" s="983"/>
      <c r="BO97" s="983"/>
      <c r="BP97" s="984"/>
      <c r="CE97" s="118"/>
      <c r="CF97" s="118"/>
      <c r="CG97" s="118"/>
      <c r="CH97" s="46"/>
    </row>
    <row r="98" spans="1:86" s="44" customFormat="1" ht="32.25" customHeight="1" x14ac:dyDescent="0.25">
      <c r="A98" s="46" t="e">
        <f>Psychologia!#REF!</f>
        <v>#REF!</v>
      </c>
      <c r="B98" s="127" t="e">
        <f>IF(Psychologia!#REF!&gt;0,Psychologia!#REF!," ")</f>
        <v>#REF!</v>
      </c>
      <c r="C98" s="128" t="e">
        <f>IF(Psychologia!#REF!&gt;0,Psychologia!#REF!," ")</f>
        <v>#REF!</v>
      </c>
      <c r="D98" s="128" t="e">
        <f>IF(Psychologia!#REF!&gt;0,Psychologia!#REF!," ")</f>
        <v>#REF!</v>
      </c>
      <c r="E98" s="127" t="e">
        <f>IF(Psychologia!#REF!&gt;0,Psychologia!#REF!," ")</f>
        <v>#REF!</v>
      </c>
      <c r="F98" s="32" t="e">
        <f>IF(Psychologia!#REF!&gt;0,Psychologia!#REF!," ")</f>
        <v>#REF!</v>
      </c>
      <c r="G98" s="32" t="e">
        <f>IF(Psychologia!#REF!&gt;0,Psychologia!#REF!," ")</f>
        <v>#REF!</v>
      </c>
      <c r="H98" s="122" t="e">
        <f>IF(Psychologia!#REF!&gt;0,Psychologia!#REF!," ")</f>
        <v>#REF!</v>
      </c>
      <c r="I98" s="122" t="e">
        <f>IF(Psychologia!#REF!&gt;0,Psychologia!#REF!," ")</f>
        <v>#REF!</v>
      </c>
      <c r="J98" s="372" t="e">
        <f>Psychologia!#REF!+Psychologia!#REF!</f>
        <v>#REF!</v>
      </c>
      <c r="K98" s="373" t="e">
        <f>Psychologia!#REF!+Psychologia!#REF!</f>
        <v>#REF!</v>
      </c>
      <c r="L98" s="374" t="e">
        <f>Psychologia!#REF!+Psychologia!#REF!</f>
        <v>#REF!</v>
      </c>
      <c r="M98" s="375" t="e">
        <f>Psychologia!#REF!+Psychologia!#REF!+Psychologia!#REF!+Psychologia!#REF!</f>
        <v>#REF!</v>
      </c>
      <c r="N98" s="376" t="e">
        <f>Psychologia!#REF!+Psychologia!#REF!</f>
        <v>#REF!</v>
      </c>
      <c r="O98" s="377" t="e">
        <f>Psychologia!#REF!+Psychologia!#REF!</f>
        <v>#REF!</v>
      </c>
      <c r="P98" s="378" t="e">
        <f>IF(Psychologia!#REF!&gt;0,Psychologia!#REF!," ")</f>
        <v>#REF!</v>
      </c>
      <c r="Q98" s="389">
        <f t="shared" si="20"/>
        <v>0</v>
      </c>
      <c r="R98" s="390">
        <f t="shared" si="21"/>
        <v>0</v>
      </c>
      <c r="S98" s="394">
        <f t="shared" si="22"/>
        <v>0</v>
      </c>
      <c r="T98" s="132"/>
      <c r="U98" s="131"/>
      <c r="V98" s="131"/>
      <c r="W98" s="131"/>
      <c r="X98" s="131"/>
      <c r="Y98" s="131"/>
      <c r="Z98" s="131"/>
      <c r="AA98" s="131"/>
      <c r="AB98" s="131"/>
      <c r="AC98" s="131"/>
      <c r="AD98" s="131"/>
      <c r="AE98" s="131"/>
      <c r="AF98" s="132"/>
      <c r="AG98" s="131"/>
      <c r="AH98" s="131"/>
      <c r="AI98" s="131"/>
      <c r="AJ98" s="131"/>
      <c r="AK98" s="131"/>
      <c r="AL98" s="131"/>
      <c r="AM98" s="131"/>
      <c r="AN98" s="131"/>
      <c r="AO98" s="131"/>
      <c r="AP98" s="131"/>
      <c r="AQ98" s="131"/>
      <c r="AR98" s="131"/>
      <c r="AS98" s="131"/>
      <c r="AT98" s="131"/>
      <c r="AU98" s="131"/>
      <c r="AV98" s="131"/>
      <c r="AW98" s="131"/>
      <c r="AX98" s="131"/>
      <c r="AY98" s="131"/>
      <c r="AZ98" s="131"/>
      <c r="BA98" s="131"/>
      <c r="BB98" s="131"/>
      <c r="BC98" s="131"/>
      <c r="BD98" s="348"/>
      <c r="BE98" s="348"/>
      <c r="BF98" s="348"/>
      <c r="BG98" s="348"/>
      <c r="BH98" s="144"/>
      <c r="BI98" s="136"/>
      <c r="BJ98" s="136"/>
      <c r="BK98" s="349"/>
      <c r="BL98" s="349"/>
      <c r="BM98" s="349"/>
      <c r="BN98" s="349"/>
      <c r="BO98" s="349"/>
      <c r="BP98" s="145"/>
      <c r="CE98" s="118"/>
      <c r="CF98" s="118"/>
      <c r="CG98" s="118"/>
      <c r="CH98" s="46"/>
    </row>
    <row r="99" spans="1:86" s="44" customFormat="1" ht="32.25" customHeight="1" x14ac:dyDescent="0.25">
      <c r="A99" s="986">
        <f>Psychologia!A95</f>
        <v>73</v>
      </c>
      <c r="B99" s="987" t="str">
        <f>IF(Psychologia!B95&gt;0,Psychologia!B95," ")</f>
        <v xml:space="preserve"> </v>
      </c>
      <c r="C99" s="988" t="str">
        <f>IF(Psychologia!C95&gt;0,Psychologia!C95," ")</f>
        <v>2026/2027</v>
      </c>
      <c r="D99" s="988" t="str">
        <f>IF(Psychologia!D95&gt;0,Psychologia!D95," ")</f>
        <v>PK</v>
      </c>
      <c r="E99" s="987">
        <f>IF(Psychologia!E95&gt;0,Psychologia!E95," ")</f>
        <v>4</v>
      </c>
      <c r="F99" s="989" t="str">
        <f>IF(Psychologia!F95&gt;0,Psychologia!F95," ")</f>
        <v>2029/2030</v>
      </c>
      <c r="G99" s="989" t="str">
        <f>IF(Psychologia!G95&gt;0,Psychologia!G95," ")</f>
        <v>POW</v>
      </c>
      <c r="H99" s="990" t="str">
        <f>IF(Psychologia!H95&gt;0,Psychologia!H95," ")</f>
        <v xml:space="preserve"> </v>
      </c>
      <c r="I99" s="990" t="str">
        <f>IF(Psychologia!I95&gt;0,Psychologia!I95," ")</f>
        <v>Psychologiczna diagnoza kliniczna dorosłych</v>
      </c>
      <c r="J99" s="372">
        <f>Psychologia!Y95+Psychologia!AV95</f>
        <v>150</v>
      </c>
      <c r="K99" s="373">
        <f>Psychologia!AS95+Psychologia!BP95</f>
        <v>75</v>
      </c>
      <c r="L99" s="374">
        <f>Psychologia!Z95+Psychologia!AW95</f>
        <v>75</v>
      </c>
      <c r="M99" s="375">
        <f>Psychologia!AB95+Psychologia!AD95+Psychologia!AY95+Psychologia!BA95</f>
        <v>10</v>
      </c>
      <c r="N99" s="376">
        <f>Psychologia!AA95+Psychologia!AX95</f>
        <v>75</v>
      </c>
      <c r="O99" s="377">
        <f>Psychologia!X95+Psychologia!AU95</f>
        <v>6</v>
      </c>
      <c r="P99" s="378" t="str">
        <f>IF(Psychologia!V95&gt;0,Psychologia!V95," ")</f>
        <v>egz</v>
      </c>
      <c r="Q99" s="389">
        <f t="shared" si="20"/>
        <v>0</v>
      </c>
      <c r="R99" s="390">
        <f t="shared" si="21"/>
        <v>0</v>
      </c>
      <c r="S99" s="394">
        <f t="shared" si="22"/>
        <v>0</v>
      </c>
      <c r="T99" s="978"/>
      <c r="U99" s="979"/>
      <c r="V99" s="979"/>
      <c r="W99" s="979"/>
      <c r="X99" s="979"/>
      <c r="Y99" s="979"/>
      <c r="Z99" s="979"/>
      <c r="AA99" s="979"/>
      <c r="AB99" s="979"/>
      <c r="AC99" s="979"/>
      <c r="AD99" s="979"/>
      <c r="AE99" s="979"/>
      <c r="AF99" s="978"/>
      <c r="AG99" s="979"/>
      <c r="AH99" s="979"/>
      <c r="AI99" s="979"/>
      <c r="AJ99" s="979"/>
      <c r="AK99" s="979"/>
      <c r="AL99" s="979"/>
      <c r="AM99" s="979"/>
      <c r="AN99" s="979"/>
      <c r="AO99" s="979"/>
      <c r="AP99" s="979"/>
      <c r="AQ99" s="979"/>
      <c r="AR99" s="979"/>
      <c r="AS99" s="979"/>
      <c r="AT99" s="979"/>
      <c r="AU99" s="979"/>
      <c r="AV99" s="979"/>
      <c r="AW99" s="979"/>
      <c r="AX99" s="979"/>
      <c r="AY99" s="979"/>
      <c r="AZ99" s="979"/>
      <c r="BA99" s="979"/>
      <c r="BB99" s="979"/>
      <c r="BC99" s="979"/>
      <c r="BD99" s="980"/>
      <c r="BE99" s="980"/>
      <c r="BF99" s="980"/>
      <c r="BG99" s="980"/>
      <c r="BH99" s="981"/>
      <c r="BI99" s="982"/>
      <c r="BJ99" s="982"/>
      <c r="BK99" s="983"/>
      <c r="BL99" s="983"/>
      <c r="BM99" s="983"/>
      <c r="BN99" s="983"/>
      <c r="BO99" s="983"/>
      <c r="BP99" s="984"/>
      <c r="CE99" s="118"/>
      <c r="CF99" s="118"/>
      <c r="CG99" s="118"/>
      <c r="CH99" s="46"/>
    </row>
    <row r="100" spans="1:86" s="44" customFormat="1" ht="32.25" customHeight="1" x14ac:dyDescent="0.25">
      <c r="A100" s="986">
        <f>Psychologia!A96</f>
        <v>74</v>
      </c>
      <c r="B100" s="987" t="str">
        <f>IF(Psychologia!B96&gt;0,Psychologia!B96," ")</f>
        <v xml:space="preserve"> </v>
      </c>
      <c r="C100" s="988" t="str">
        <f>IF(Psychologia!C96&gt;0,Psychologia!C96," ")</f>
        <v>2026/2027</v>
      </c>
      <c r="D100" s="988" t="str">
        <f>IF(Psychologia!D96&gt;0,Psychologia!D96," ")</f>
        <v>PK</v>
      </c>
      <c r="E100" s="987">
        <f>IF(Psychologia!E96&gt;0,Psychologia!E96," ")</f>
        <v>4</v>
      </c>
      <c r="F100" s="989" t="str">
        <f>IF(Psychologia!F96&gt;0,Psychologia!F96," ")</f>
        <v>2029/2030</v>
      </c>
      <c r="G100" s="989" t="str">
        <f>IF(Psychologia!G96&gt;0,Psychologia!G96," ")</f>
        <v>POW</v>
      </c>
      <c r="H100" s="990" t="str">
        <f>IF(Psychologia!H96&gt;0,Psychologia!H96," ")</f>
        <v xml:space="preserve"> </v>
      </c>
      <c r="I100" s="990" t="str">
        <f>IF(Psychologia!I96&gt;0,Psychologia!I96," ")</f>
        <v>Psychologiczna diagnoza dzieci i młodzieży z elementami psychoterapii</v>
      </c>
      <c r="J100" s="372">
        <f>Psychologia!Y96+Psychologia!AV96</f>
        <v>100</v>
      </c>
      <c r="K100" s="373">
        <f>Psychologia!AS96+Psychologia!BP96</f>
        <v>40</v>
      </c>
      <c r="L100" s="374">
        <f>Psychologia!Z96+Psychologia!AW96</f>
        <v>60</v>
      </c>
      <c r="M100" s="375">
        <f>Psychologia!AB96+Psychologia!AD96+Psychologia!AY96+Psychologia!BA96</f>
        <v>10</v>
      </c>
      <c r="N100" s="376">
        <f>Psychologia!AA96+Psychologia!AX96</f>
        <v>60</v>
      </c>
      <c r="O100" s="377">
        <f>Psychologia!X96+Psychologia!AU96</f>
        <v>4</v>
      </c>
      <c r="P100" s="378" t="str">
        <f>IF(Psychologia!V96&gt;0,Psychologia!V96," ")</f>
        <v>egz</v>
      </c>
      <c r="Q100" s="389">
        <f t="shared" si="20"/>
        <v>0</v>
      </c>
      <c r="R100" s="390">
        <f t="shared" si="21"/>
        <v>0</v>
      </c>
      <c r="S100" s="394">
        <f t="shared" si="22"/>
        <v>0</v>
      </c>
      <c r="T100" s="978"/>
      <c r="U100" s="979"/>
      <c r="V100" s="979"/>
      <c r="W100" s="979"/>
      <c r="X100" s="979"/>
      <c r="Y100" s="979"/>
      <c r="Z100" s="979"/>
      <c r="AA100" s="979"/>
      <c r="AB100" s="979"/>
      <c r="AC100" s="979"/>
      <c r="AD100" s="979"/>
      <c r="AE100" s="979"/>
      <c r="AF100" s="978"/>
      <c r="AG100" s="979"/>
      <c r="AH100" s="979"/>
      <c r="AI100" s="979"/>
      <c r="AJ100" s="979"/>
      <c r="AK100" s="979"/>
      <c r="AL100" s="979"/>
      <c r="AM100" s="979"/>
      <c r="AN100" s="979"/>
      <c r="AO100" s="979"/>
      <c r="AP100" s="979"/>
      <c r="AQ100" s="979"/>
      <c r="AR100" s="979"/>
      <c r="AS100" s="979"/>
      <c r="AT100" s="979"/>
      <c r="AU100" s="979"/>
      <c r="AV100" s="979"/>
      <c r="AW100" s="979"/>
      <c r="AX100" s="979"/>
      <c r="AY100" s="979"/>
      <c r="AZ100" s="979"/>
      <c r="BA100" s="979"/>
      <c r="BB100" s="979"/>
      <c r="BC100" s="979"/>
      <c r="BD100" s="980"/>
      <c r="BE100" s="980"/>
      <c r="BF100" s="980"/>
      <c r="BG100" s="980"/>
      <c r="BH100" s="981"/>
      <c r="BI100" s="982"/>
      <c r="BJ100" s="982"/>
      <c r="BK100" s="983"/>
      <c r="BL100" s="983"/>
      <c r="BM100" s="983"/>
      <c r="BN100" s="983"/>
      <c r="BO100" s="983"/>
      <c r="BP100" s="984"/>
      <c r="CE100" s="118"/>
      <c r="CF100" s="118"/>
      <c r="CG100" s="118"/>
      <c r="CH100" s="46"/>
    </row>
    <row r="101" spans="1:86" s="44" customFormat="1" ht="32.25" customHeight="1" x14ac:dyDescent="0.25">
      <c r="A101" s="46" t="e">
        <f>Psychologia!#REF!</f>
        <v>#REF!</v>
      </c>
      <c r="B101" s="127" t="e">
        <f>IF(Psychologia!#REF!&gt;0,Psychologia!#REF!," ")</f>
        <v>#REF!</v>
      </c>
      <c r="C101" s="128" t="e">
        <f>IF(Psychologia!#REF!&gt;0,Psychologia!#REF!," ")</f>
        <v>#REF!</v>
      </c>
      <c r="D101" s="128" t="e">
        <f>IF(Psychologia!#REF!&gt;0,Psychologia!#REF!," ")</f>
        <v>#REF!</v>
      </c>
      <c r="E101" s="127" t="e">
        <f>IF(Psychologia!#REF!&gt;0,Psychologia!#REF!," ")</f>
        <v>#REF!</v>
      </c>
      <c r="F101" s="32" t="e">
        <f>IF(Psychologia!#REF!&gt;0,Psychologia!#REF!," ")</f>
        <v>#REF!</v>
      </c>
      <c r="G101" s="32" t="e">
        <f>IF(Psychologia!#REF!&gt;0,Psychologia!#REF!," ")</f>
        <v>#REF!</v>
      </c>
      <c r="H101" s="122" t="e">
        <f>IF(Psychologia!#REF!&gt;0,Psychologia!#REF!," ")</f>
        <v>#REF!</v>
      </c>
      <c r="I101" s="122" t="e">
        <f>IF(Psychologia!#REF!&gt;0,Psychologia!#REF!," ")</f>
        <v>#REF!</v>
      </c>
      <c r="J101" s="372" t="e">
        <f>Psychologia!#REF!+Psychologia!#REF!</f>
        <v>#REF!</v>
      </c>
      <c r="K101" s="373" t="e">
        <f>Psychologia!#REF!+Psychologia!#REF!</f>
        <v>#REF!</v>
      </c>
      <c r="L101" s="374" t="e">
        <f>Psychologia!#REF!+Psychologia!#REF!</f>
        <v>#REF!</v>
      </c>
      <c r="M101" s="375" t="e">
        <f>Psychologia!#REF!+Psychologia!#REF!+Psychologia!#REF!+Psychologia!#REF!</f>
        <v>#REF!</v>
      </c>
      <c r="N101" s="376" t="e">
        <f>Psychologia!#REF!+Psychologia!#REF!</f>
        <v>#REF!</v>
      </c>
      <c r="O101" s="377" t="e">
        <f>Psychologia!#REF!+Psychologia!#REF!</f>
        <v>#REF!</v>
      </c>
      <c r="P101" s="378" t="e">
        <f>IF(Psychologia!#REF!&gt;0,Psychologia!#REF!," ")</f>
        <v>#REF!</v>
      </c>
      <c r="Q101" s="389">
        <f t="shared" si="20"/>
        <v>0</v>
      </c>
      <c r="R101" s="390">
        <f t="shared" si="21"/>
        <v>0</v>
      </c>
      <c r="S101" s="394">
        <f t="shared" si="22"/>
        <v>0</v>
      </c>
      <c r="T101" s="132"/>
      <c r="U101" s="131"/>
      <c r="V101" s="131"/>
      <c r="W101" s="131"/>
      <c r="X101" s="131"/>
      <c r="Y101" s="131"/>
      <c r="Z101" s="131"/>
      <c r="AA101" s="131"/>
      <c r="AB101" s="131"/>
      <c r="AC101" s="131"/>
      <c r="AD101" s="131"/>
      <c r="AE101" s="131"/>
      <c r="AF101" s="132"/>
      <c r="AG101" s="131"/>
      <c r="AH101" s="131"/>
      <c r="AI101" s="131"/>
      <c r="AJ101" s="131"/>
      <c r="AK101" s="131"/>
      <c r="AL101" s="131"/>
      <c r="AM101" s="131"/>
      <c r="AN101" s="131"/>
      <c r="AO101" s="131"/>
      <c r="AP101" s="131"/>
      <c r="AQ101" s="131"/>
      <c r="AR101" s="131"/>
      <c r="AS101" s="131"/>
      <c r="AT101" s="131"/>
      <c r="AU101" s="131"/>
      <c r="AV101" s="131"/>
      <c r="AW101" s="131"/>
      <c r="AX101" s="131"/>
      <c r="AY101" s="131"/>
      <c r="AZ101" s="131"/>
      <c r="BA101" s="131"/>
      <c r="BB101" s="131"/>
      <c r="BC101" s="131"/>
      <c r="BD101" s="348"/>
      <c r="BE101" s="348"/>
      <c r="BF101" s="348"/>
      <c r="BG101" s="348"/>
      <c r="BH101" s="144"/>
      <c r="BI101" s="136"/>
      <c r="BJ101" s="136"/>
      <c r="BK101" s="349"/>
      <c r="BL101" s="349"/>
      <c r="BM101" s="349"/>
      <c r="BN101" s="349"/>
      <c r="BO101" s="349"/>
      <c r="BP101" s="145"/>
      <c r="CE101" s="118"/>
      <c r="CF101" s="118"/>
      <c r="CG101" s="118"/>
      <c r="CH101" s="46"/>
    </row>
    <row r="102" spans="1:86" s="44" customFormat="1" ht="32.25" customHeight="1" x14ac:dyDescent="0.25">
      <c r="A102" s="46">
        <f>Psychologia!A102</f>
        <v>80</v>
      </c>
      <c r="B102" s="127" t="str">
        <f>IF(Psychologia!B102&gt;0,Psychologia!B102," ")</f>
        <v xml:space="preserve"> </v>
      </c>
      <c r="C102" s="128" t="str">
        <f>IF(Psychologia!C102&gt;0,Psychologia!C102," ")</f>
        <v>2026/2027</v>
      </c>
      <c r="D102" s="128" t="str">
        <f>IF(Psychologia!D102&gt;0,Psychologia!D102," ")</f>
        <v>PZ</v>
      </c>
      <c r="E102" s="127">
        <f>IF(Psychologia!E102&gt;0,Psychologia!E102," ")</f>
        <v>4</v>
      </c>
      <c r="F102" s="32" t="str">
        <f>IF(Psychologia!F102&gt;0,Psychologia!F102," ")</f>
        <v>2029/2030</v>
      </c>
      <c r="G102" s="32" t="str">
        <f>IF(Psychologia!G102&gt;0,Psychologia!G102," ")</f>
        <v>POW</v>
      </c>
      <c r="H102" s="122" t="str">
        <f>IF(Psychologia!H102&gt;0,Psychologia!H102," ")</f>
        <v xml:space="preserve"> </v>
      </c>
      <c r="I102" s="122" t="str">
        <f>IF(Psychologia!I102&gt;0,Psychologia!I102," ")</f>
        <v>Promocja zdrowia</v>
      </c>
      <c r="J102" s="372">
        <f>Psychologia!Y102+Psychologia!AV102</f>
        <v>75</v>
      </c>
      <c r="K102" s="373">
        <f>Psychologia!AS102+Psychologia!BP102</f>
        <v>30</v>
      </c>
      <c r="L102" s="374">
        <f>Psychologia!Z102+Psychologia!AW102</f>
        <v>45</v>
      </c>
      <c r="M102" s="375">
        <f>Psychologia!AB102+Psychologia!AD102+Psychologia!AY102+Psychologia!BA102</f>
        <v>5</v>
      </c>
      <c r="N102" s="376">
        <f>Psychologia!AA102+Psychologia!AX102</f>
        <v>45</v>
      </c>
      <c r="O102" s="377">
        <f>Psychologia!X102+Psychologia!AU102</f>
        <v>3</v>
      </c>
      <c r="P102" s="378" t="str">
        <f>IF(Psychologia!V102&gt;0,Psychologia!V102," ")</f>
        <v>egz</v>
      </c>
      <c r="Q102" s="389">
        <f t="shared" si="20"/>
        <v>0</v>
      </c>
      <c r="R102" s="390">
        <f t="shared" ref="R102" si="23">SUM(AF102:BG102)</f>
        <v>0</v>
      </c>
      <c r="S102" s="394">
        <f t="shared" si="22"/>
        <v>0</v>
      </c>
      <c r="T102" s="132"/>
      <c r="U102" s="131"/>
      <c r="V102" s="131"/>
      <c r="W102" s="131"/>
      <c r="X102" s="131"/>
      <c r="Y102" s="131"/>
      <c r="Z102" s="131"/>
      <c r="AA102" s="131"/>
      <c r="AB102" s="131"/>
      <c r="AC102" s="131"/>
      <c r="AD102" s="131"/>
      <c r="AE102" s="131"/>
      <c r="AF102" s="132"/>
      <c r="AG102" s="131"/>
      <c r="AH102" s="131"/>
      <c r="AI102" s="131"/>
      <c r="AJ102" s="131"/>
      <c r="AK102" s="131"/>
      <c r="AL102" s="131"/>
      <c r="AM102" s="131"/>
      <c r="AN102" s="131"/>
      <c r="AO102" s="131"/>
      <c r="AP102" s="131"/>
      <c r="AQ102" s="131"/>
      <c r="AR102" s="131"/>
      <c r="AS102" s="131"/>
      <c r="AT102" s="131"/>
      <c r="AU102" s="131"/>
      <c r="AV102" s="131"/>
      <c r="AW102" s="131"/>
      <c r="AX102" s="131"/>
      <c r="AY102" s="131"/>
      <c r="AZ102" s="131"/>
      <c r="BA102" s="131"/>
      <c r="BB102" s="131"/>
      <c r="BC102" s="131"/>
      <c r="BD102" s="348"/>
      <c r="BE102" s="348"/>
      <c r="BF102" s="348"/>
      <c r="BG102" s="348"/>
      <c r="BH102" s="132"/>
      <c r="BI102" s="131"/>
      <c r="BJ102" s="131"/>
      <c r="BK102" s="348"/>
      <c r="BL102" s="348"/>
      <c r="BM102" s="348"/>
      <c r="BN102" s="348"/>
      <c r="BO102" s="348"/>
      <c r="BP102" s="133"/>
      <c r="CE102" s="118"/>
      <c r="CF102" s="118"/>
      <c r="CG102" s="118"/>
      <c r="CH102" s="46"/>
    </row>
    <row r="103" spans="1:86" s="44" customFormat="1" ht="32.25" customHeight="1" thickBot="1" x14ac:dyDescent="0.3">
      <c r="A103" s="56">
        <f>Psychologia!A103</f>
        <v>81</v>
      </c>
      <c r="B103" s="410" t="str">
        <f>IF(Psychologia!B103&gt;0,Psychologia!B103," ")</f>
        <v xml:space="preserve"> </v>
      </c>
      <c r="C103" s="361" t="str">
        <f>IF(Psychologia!C103&gt;0,Psychologia!C103," ")</f>
        <v>2026/2027</v>
      </c>
      <c r="D103" s="361" t="str">
        <f>IF(Psychologia!D103&gt;0,Psychologia!D103," ")</f>
        <v>PZ</v>
      </c>
      <c r="E103" s="410">
        <f>IF(Psychologia!E103&gt;0,Psychologia!E103," ")</f>
        <v>4</v>
      </c>
      <c r="F103" s="56" t="str">
        <f>IF(Psychologia!F103&gt;0,Psychologia!F103," ")</f>
        <v>2029/2030</v>
      </c>
      <c r="G103" s="56" t="str">
        <f>IF(Psychologia!G103&gt;0,Psychologia!G103," ")</f>
        <v>POW</v>
      </c>
      <c r="H103" s="120" t="str">
        <f>IF(Psychologia!H103&gt;0,Psychologia!H103," ")</f>
        <v xml:space="preserve"> </v>
      </c>
      <c r="I103" s="120" t="str">
        <f>IF(Psychologia!I103&gt;0,Psychologia!I103," ")</f>
        <v>Rehabilitacja psychologiczna</v>
      </c>
      <c r="J103" s="355">
        <f>Psychologia!Y103+Psychologia!AV103</f>
        <v>100</v>
      </c>
      <c r="K103" s="356">
        <f>Psychologia!AS103+Psychologia!BP103</f>
        <v>30</v>
      </c>
      <c r="L103" s="357">
        <f>Psychologia!Z103+Psychologia!AW103</f>
        <v>70</v>
      </c>
      <c r="M103" s="358">
        <f>Psychologia!AB103+Psychologia!AD103+Psychologia!AY103+Psychologia!BA103</f>
        <v>10</v>
      </c>
      <c r="N103" s="359">
        <f>Psychologia!AA103+Psychologia!AX103</f>
        <v>70</v>
      </c>
      <c r="O103" s="360">
        <f>Psychologia!X103+Psychologia!AU103</f>
        <v>4</v>
      </c>
      <c r="P103" s="361" t="str">
        <f>IF(Psychologia!V103&gt;0,Psychologia!V103," ")</f>
        <v>egz</v>
      </c>
      <c r="Q103" s="403">
        <f t="shared" si="20"/>
        <v>0</v>
      </c>
      <c r="R103" s="363">
        <f t="shared" si="21"/>
        <v>0</v>
      </c>
      <c r="S103" s="404">
        <f t="shared" si="22"/>
        <v>0</v>
      </c>
      <c r="T103" s="733"/>
      <c r="U103" s="873"/>
      <c r="V103" s="873"/>
      <c r="W103" s="873"/>
      <c r="X103" s="873"/>
      <c r="Y103" s="873"/>
      <c r="Z103" s="873"/>
      <c r="AA103" s="873"/>
      <c r="AB103" s="873"/>
      <c r="AC103" s="873"/>
      <c r="AD103" s="873"/>
      <c r="AE103" s="873"/>
      <c r="AF103" s="733"/>
      <c r="AG103" s="873"/>
      <c r="AH103" s="873"/>
      <c r="AI103" s="873"/>
      <c r="AJ103" s="873"/>
      <c r="AK103" s="873"/>
      <c r="AL103" s="873"/>
      <c r="AM103" s="873"/>
      <c r="AN103" s="873"/>
      <c r="AO103" s="873"/>
      <c r="AP103" s="873"/>
      <c r="AQ103" s="873"/>
      <c r="AR103" s="873"/>
      <c r="AS103" s="873"/>
      <c r="AT103" s="873"/>
      <c r="AU103" s="873"/>
      <c r="AV103" s="873"/>
      <c r="AW103" s="873"/>
      <c r="AX103" s="873"/>
      <c r="AY103" s="873"/>
      <c r="AZ103" s="873"/>
      <c r="BA103" s="873"/>
      <c r="BB103" s="873"/>
      <c r="BC103" s="873"/>
      <c r="BD103" s="874"/>
      <c r="BE103" s="874"/>
      <c r="BF103" s="874"/>
      <c r="BG103" s="874"/>
      <c r="BH103" s="733"/>
      <c r="BI103" s="873"/>
      <c r="BJ103" s="873"/>
      <c r="BK103" s="874"/>
      <c r="BL103" s="874"/>
      <c r="BM103" s="874"/>
      <c r="BN103" s="874"/>
      <c r="BO103" s="874"/>
      <c r="BP103" s="875"/>
      <c r="CE103" s="118"/>
      <c r="CF103" s="118"/>
      <c r="CG103" s="118"/>
      <c r="CH103" s="46"/>
    </row>
    <row r="104" spans="1:86" s="44" customFormat="1" ht="30" customHeight="1" thickBot="1" x14ac:dyDescent="0.3">
      <c r="A104" s="405"/>
      <c r="B104" s="406" t="str">
        <f>IF(Psychologia!B104&gt;0,Psychologia!B104," ")</f>
        <v xml:space="preserve"> </v>
      </c>
      <c r="C104" s="407" t="str">
        <f>IF(Psychologia!C104&gt;0,Psychologia!C104," ")</f>
        <v xml:space="preserve"> </v>
      </c>
      <c r="D104" s="407" t="str">
        <f>IF(Psychologia!D104&gt;0,Psychologia!D104," ")</f>
        <v xml:space="preserve"> </v>
      </c>
      <c r="E104" s="406" t="str">
        <f>IF(Psychologia!E104&gt;0,Psychologia!E104," ")</f>
        <v xml:space="preserve"> </v>
      </c>
      <c r="F104" s="407" t="str">
        <f>IF(Psychologia!F104&gt;0,Psychologia!F104," ")</f>
        <v xml:space="preserve"> </v>
      </c>
      <c r="G104" s="407" t="str">
        <f>IF(Psychologia!G104&gt;0,Psychologia!G104," ")</f>
        <v xml:space="preserve"> </v>
      </c>
      <c r="H104" s="408" t="str">
        <f>IF(Psychologia!H104&gt;0,Psychologia!H104," ")</f>
        <v xml:space="preserve"> </v>
      </c>
      <c r="I104" s="409" t="str">
        <f>IF(Psychologia!I104&gt;0,Psychologia!I104," ")</f>
        <v>sumy dla 4 roku</v>
      </c>
      <c r="J104" s="391">
        <f>Psychologia!Y104+Psychologia!AV104</f>
        <v>2095</v>
      </c>
      <c r="K104" s="392">
        <f>Psychologia!AS104+Psychologia!BP104</f>
        <v>715</v>
      </c>
      <c r="L104" s="393">
        <f>SUM(Psychologia!O81:O103)</f>
        <v>1380</v>
      </c>
      <c r="M104" s="393" t="e">
        <f>SUM(M81:M103)</f>
        <v>#REF!</v>
      </c>
      <c r="N104" s="393">
        <f>SUM(Psychologia!P81:P103)</f>
        <v>1380</v>
      </c>
      <c r="O104" s="393">
        <f>SUM(Psychologia!Q81:Q103)</f>
        <v>83</v>
      </c>
      <c r="P104" s="393" t="str">
        <f>IF(Psychologia!V104&gt;0,Psychologia!V104," ")</f>
        <v xml:space="preserve"> </v>
      </c>
      <c r="Q104" s="393">
        <f>SUM(Q81:Q103)</f>
        <v>0</v>
      </c>
      <c r="R104" s="393">
        <f t="shared" ref="R104:AE104" si="24">SUM(R81:R103)</f>
        <v>0</v>
      </c>
      <c r="S104" s="393">
        <f t="shared" si="24"/>
        <v>0</v>
      </c>
      <c r="T104" s="407">
        <f t="shared" si="24"/>
        <v>0</v>
      </c>
      <c r="U104" s="393">
        <f t="shared" si="24"/>
        <v>0</v>
      </c>
      <c r="V104" s="393">
        <f t="shared" si="24"/>
        <v>0</v>
      </c>
      <c r="W104" s="393">
        <f t="shared" si="24"/>
        <v>0</v>
      </c>
      <c r="X104" s="393">
        <f t="shared" si="24"/>
        <v>0</v>
      </c>
      <c r="Y104" s="393">
        <f t="shared" si="24"/>
        <v>0</v>
      </c>
      <c r="Z104" s="393">
        <f t="shared" si="24"/>
        <v>0</v>
      </c>
      <c r="AA104" s="393">
        <f t="shared" si="24"/>
        <v>0</v>
      </c>
      <c r="AB104" s="393">
        <f t="shared" si="24"/>
        <v>0</v>
      </c>
      <c r="AC104" s="393">
        <f t="shared" si="24"/>
        <v>0</v>
      </c>
      <c r="AD104" s="393">
        <f t="shared" si="24"/>
        <v>0</v>
      </c>
      <c r="AE104" s="393">
        <f t="shared" si="24"/>
        <v>0</v>
      </c>
      <c r="AF104" s="393">
        <f t="shared" ref="AF104:BG104" si="25">SUM(AF81:AF103)</f>
        <v>0</v>
      </c>
      <c r="AG104" s="393">
        <f t="shared" si="25"/>
        <v>0</v>
      </c>
      <c r="AH104" s="393">
        <f t="shared" si="25"/>
        <v>0</v>
      </c>
      <c r="AI104" s="393">
        <f t="shared" si="25"/>
        <v>0</v>
      </c>
      <c r="AJ104" s="393">
        <f t="shared" si="25"/>
        <v>0</v>
      </c>
      <c r="AK104" s="393">
        <f t="shared" si="25"/>
        <v>0</v>
      </c>
      <c r="AL104" s="393">
        <f t="shared" si="25"/>
        <v>0</v>
      </c>
      <c r="AM104" s="393">
        <f t="shared" si="25"/>
        <v>0</v>
      </c>
      <c r="AN104" s="393">
        <f t="shared" si="25"/>
        <v>0</v>
      </c>
      <c r="AO104" s="393">
        <f t="shared" si="25"/>
        <v>0</v>
      </c>
      <c r="AP104" s="393">
        <f t="shared" si="25"/>
        <v>0</v>
      </c>
      <c r="AQ104" s="393">
        <f t="shared" si="25"/>
        <v>0</v>
      </c>
      <c r="AR104" s="393">
        <f t="shared" si="25"/>
        <v>0</v>
      </c>
      <c r="AS104" s="393">
        <f t="shared" si="25"/>
        <v>0</v>
      </c>
      <c r="AT104" s="393">
        <f t="shared" si="25"/>
        <v>0</v>
      </c>
      <c r="AU104" s="393">
        <f t="shared" si="25"/>
        <v>0</v>
      </c>
      <c r="AV104" s="393">
        <f t="shared" si="25"/>
        <v>0</v>
      </c>
      <c r="AW104" s="393">
        <f t="shared" si="25"/>
        <v>0</v>
      </c>
      <c r="AX104" s="393">
        <f t="shared" si="25"/>
        <v>0</v>
      </c>
      <c r="AY104" s="393">
        <f t="shared" si="25"/>
        <v>0</v>
      </c>
      <c r="AZ104" s="393">
        <f t="shared" si="25"/>
        <v>0</v>
      </c>
      <c r="BA104" s="393">
        <f t="shared" si="25"/>
        <v>0</v>
      </c>
      <c r="BB104" s="393">
        <f t="shared" si="25"/>
        <v>0</v>
      </c>
      <c r="BC104" s="393">
        <f t="shared" si="25"/>
        <v>0</v>
      </c>
      <c r="BD104" s="393">
        <f t="shared" si="25"/>
        <v>0</v>
      </c>
      <c r="BE104" s="393">
        <f t="shared" si="25"/>
        <v>0</v>
      </c>
      <c r="BF104" s="393">
        <f t="shared" si="25"/>
        <v>0</v>
      </c>
      <c r="BG104" s="613">
        <f t="shared" si="25"/>
        <v>0</v>
      </c>
      <c r="BH104" s="405">
        <f t="shared" ref="BH104:BN104" si="26">SUM(BH81:BH103)</f>
        <v>0</v>
      </c>
      <c r="BI104" s="393">
        <f t="shared" si="26"/>
        <v>0</v>
      </c>
      <c r="BJ104" s="393">
        <f t="shared" si="26"/>
        <v>0</v>
      </c>
      <c r="BK104" s="393">
        <f t="shared" si="26"/>
        <v>0</v>
      </c>
      <c r="BL104" s="393">
        <f t="shared" si="26"/>
        <v>0</v>
      </c>
      <c r="BM104" s="393">
        <f t="shared" si="26"/>
        <v>0</v>
      </c>
      <c r="BN104" s="393">
        <f t="shared" si="26"/>
        <v>0</v>
      </c>
      <c r="BO104" s="393">
        <f t="shared" ref="BO104:BP104" si="27">SUM(BO81:BO103)</f>
        <v>0</v>
      </c>
      <c r="BP104" s="619">
        <f t="shared" si="27"/>
        <v>0</v>
      </c>
      <c r="CE104" s="118"/>
      <c r="CF104" s="118"/>
      <c r="CG104" s="118"/>
      <c r="CH104" s="46"/>
    </row>
    <row r="105" spans="1:86" s="44" customFormat="1" ht="32.25" customHeight="1" x14ac:dyDescent="0.25">
      <c r="A105" s="46">
        <f>Psychologia!A105</f>
        <v>82</v>
      </c>
      <c r="B105" s="127" t="str">
        <f>IF(Psychologia!B105&gt;0,Psychologia!B105," ")</f>
        <v xml:space="preserve"> </v>
      </c>
      <c r="C105" s="128" t="str">
        <f>IF(Psychologia!C105&gt;0,Psychologia!C105," ")</f>
        <v>2026/2027</v>
      </c>
      <c r="D105" s="128" t="str">
        <f>IF(Psychologia!D105&gt;0,Psychologia!D105," ")</f>
        <v xml:space="preserve"> </v>
      </c>
      <c r="E105" s="127">
        <f>IF(Psychologia!E105&gt;0,Psychologia!E105," ")</f>
        <v>5</v>
      </c>
      <c r="F105" s="32" t="str">
        <f>IF(Psychologia!F105&gt;0,Psychologia!F105," ")</f>
        <v>2030/2031</v>
      </c>
      <c r="G105" s="32" t="str">
        <f>IF(Psychologia!G105&gt;0,Psychologia!G105," ")</f>
        <v>RPS</v>
      </c>
      <c r="H105" s="122" t="str">
        <f>IF(Psychologia!H105&gt;0,Psychologia!H105," ")</f>
        <v xml:space="preserve"> </v>
      </c>
      <c r="I105" s="122" t="str">
        <f>IF(Psychologia!I105&gt;0,Psychologia!I105," ")</f>
        <v>Interwencja kryzysowa</v>
      </c>
      <c r="J105" s="372">
        <f>Psychologia!Y105+Psychologia!AV105</f>
        <v>150</v>
      </c>
      <c r="K105" s="373">
        <f>Psychologia!AS105+Psychologia!BP105</f>
        <v>80</v>
      </c>
      <c r="L105" s="374">
        <f>Psychologia!Z105+Psychologia!AW105</f>
        <v>70</v>
      </c>
      <c r="M105" s="375">
        <f>Psychologia!AB105+Psychologia!AD105+Psychologia!AY105+Psychologia!BA105</f>
        <v>10</v>
      </c>
      <c r="N105" s="376">
        <f>Psychologia!AA105+Psychologia!AX105</f>
        <v>70</v>
      </c>
      <c r="O105" s="377">
        <f>Psychologia!X105+Psychologia!AU105</f>
        <v>6</v>
      </c>
      <c r="P105" s="378" t="str">
        <f>IF(Psychologia!V105&gt;0,Psychologia!V105," ")</f>
        <v>zal/o</v>
      </c>
      <c r="Q105" s="389">
        <f t="shared" ref="Q105:Q121" si="28">SUM(T105:AE105)</f>
        <v>0</v>
      </c>
      <c r="R105" s="390">
        <f t="shared" ref="R105:R121" si="29">SUM(AF105:BG105)</f>
        <v>0</v>
      </c>
      <c r="S105" s="394">
        <f t="shared" ref="S105:S121" si="30">SUM(BH105:BP105)</f>
        <v>0</v>
      </c>
      <c r="T105" s="130"/>
      <c r="U105" s="129"/>
      <c r="V105" s="129"/>
      <c r="W105" s="129"/>
      <c r="X105" s="129"/>
      <c r="Y105" s="129"/>
      <c r="Z105" s="129"/>
      <c r="AA105" s="129"/>
      <c r="AB105" s="129"/>
      <c r="AC105" s="129"/>
      <c r="AD105" s="129"/>
      <c r="AE105" s="129"/>
      <c r="AF105" s="130"/>
      <c r="AG105" s="129"/>
      <c r="AH105" s="129"/>
      <c r="AI105" s="129"/>
      <c r="AJ105" s="129"/>
      <c r="AK105" s="129"/>
      <c r="AL105" s="129"/>
      <c r="AM105" s="129"/>
      <c r="AN105" s="129"/>
      <c r="AO105" s="129"/>
      <c r="AP105" s="129"/>
      <c r="AQ105" s="129"/>
      <c r="AR105" s="129"/>
      <c r="AS105" s="129"/>
      <c r="AT105" s="129"/>
      <c r="AU105" s="129"/>
      <c r="AV105" s="129"/>
      <c r="AW105" s="129"/>
      <c r="AX105" s="129"/>
      <c r="AY105" s="129"/>
      <c r="AZ105" s="129"/>
      <c r="BA105" s="129"/>
      <c r="BB105" s="129"/>
      <c r="BC105" s="129"/>
      <c r="BD105" s="347"/>
      <c r="BE105" s="347"/>
      <c r="BF105" s="347"/>
      <c r="BG105" s="347"/>
      <c r="BH105" s="601"/>
      <c r="BI105" s="600"/>
      <c r="BJ105" s="600"/>
      <c r="BK105" s="602"/>
      <c r="BL105" s="602"/>
      <c r="BM105" s="602"/>
      <c r="BN105" s="602"/>
      <c r="BO105" s="602"/>
      <c r="BP105" s="603"/>
      <c r="CE105" s="118"/>
      <c r="CF105" s="118"/>
      <c r="CG105" s="118"/>
      <c r="CH105" s="46"/>
    </row>
    <row r="106" spans="1:86" s="44" customFormat="1" ht="78.75" x14ac:dyDescent="0.25">
      <c r="A106" s="46">
        <f>Psychologia!A106</f>
        <v>83</v>
      </c>
      <c r="B106" s="127" t="str">
        <f>IF(Psychologia!B106&gt;0,Psychologia!B106," ")</f>
        <v xml:space="preserve"> </v>
      </c>
      <c r="C106" s="128" t="str">
        <f>IF(Psychologia!C106&gt;0,Psychologia!C106," ")</f>
        <v>2026/2027</v>
      </c>
      <c r="D106" s="128" t="str">
        <f>IF(Psychologia!D106&gt;0,Psychologia!D106," ")</f>
        <v xml:space="preserve"> </v>
      </c>
      <c r="E106" s="127">
        <f>IF(Psychologia!E106&gt;0,Psychologia!E106," ")</f>
        <v>5</v>
      </c>
      <c r="F106" s="32" t="str">
        <f>IF(Psychologia!F106&gt;0,Psychologia!F106," ")</f>
        <v>2030/2031</v>
      </c>
      <c r="G106" s="32" t="str">
        <f>IF(Psychologia!G106&gt;0,Psychologia!G106," ")</f>
        <v>POW</v>
      </c>
      <c r="H106" s="122" t="str">
        <f>IF(Psychologia!H106&gt;0,Psychologia!H106," ")</f>
        <v xml:space="preserve"> </v>
      </c>
      <c r="I106" s="599" t="str">
        <f>IF(Psychologia!I106&gt;0,Psychologia!I106," ")</f>
        <v>Przedmiot fakultatywny 10: Zachowania suicydalne – diagnoza i terapia / PK: ADHD – diagnoza i terapia; 
PZ: Fizjoprofilaktyka</v>
      </c>
      <c r="J106" s="372">
        <f>Psychologia!Y106+Psychologia!AV106</f>
        <v>100</v>
      </c>
      <c r="K106" s="373">
        <f>Psychologia!AS106+Psychologia!BP106</f>
        <v>40</v>
      </c>
      <c r="L106" s="374">
        <f>Psychologia!Z106+Psychologia!AW106</f>
        <v>60</v>
      </c>
      <c r="M106" s="375">
        <f>Psychologia!AB106+Psychologia!AD106+Psychologia!AY106+Psychologia!BA106</f>
        <v>10</v>
      </c>
      <c r="N106" s="376">
        <f>Psychologia!AA106+Psychologia!AX106</f>
        <v>60</v>
      </c>
      <c r="O106" s="377">
        <f>Psychologia!X106+Psychologia!AU106</f>
        <v>4</v>
      </c>
      <c r="P106" s="378" t="str">
        <f>IF(Psychologia!V106&gt;0,Psychologia!V106," ")</f>
        <v>zal/o</v>
      </c>
      <c r="Q106" s="389">
        <f t="shared" si="28"/>
        <v>0</v>
      </c>
      <c r="R106" s="390">
        <f t="shared" si="29"/>
        <v>0</v>
      </c>
      <c r="S106" s="394">
        <f t="shared" si="30"/>
        <v>0</v>
      </c>
      <c r="T106" s="132"/>
      <c r="U106" s="131"/>
      <c r="V106" s="131"/>
      <c r="W106" s="131"/>
      <c r="X106" s="131"/>
      <c r="Y106" s="131"/>
      <c r="Z106" s="131"/>
      <c r="AA106" s="131"/>
      <c r="AB106" s="131"/>
      <c r="AC106" s="131"/>
      <c r="AD106" s="131"/>
      <c r="AE106" s="131"/>
      <c r="AF106" s="132"/>
      <c r="AG106" s="131"/>
      <c r="AH106" s="131"/>
      <c r="AI106" s="131"/>
      <c r="AJ106" s="131"/>
      <c r="AK106" s="131"/>
      <c r="AL106" s="131"/>
      <c r="AM106" s="131"/>
      <c r="AN106" s="131"/>
      <c r="AO106" s="131"/>
      <c r="AP106" s="131"/>
      <c r="AQ106" s="131"/>
      <c r="AR106" s="131"/>
      <c r="AS106" s="131"/>
      <c r="AT106" s="131"/>
      <c r="AU106" s="131"/>
      <c r="AV106" s="131"/>
      <c r="AW106" s="131"/>
      <c r="AX106" s="131"/>
      <c r="AY106" s="131"/>
      <c r="AZ106" s="131"/>
      <c r="BA106" s="131"/>
      <c r="BB106" s="131"/>
      <c r="BC106" s="131"/>
      <c r="BD106" s="348"/>
      <c r="BE106" s="348"/>
      <c r="BF106" s="348"/>
      <c r="BG106" s="348"/>
      <c r="BH106" s="144"/>
      <c r="BI106" s="136"/>
      <c r="BJ106" s="136"/>
      <c r="BK106" s="349"/>
      <c r="BL106" s="349"/>
      <c r="BM106" s="349"/>
      <c r="BN106" s="349"/>
      <c r="BO106" s="349"/>
      <c r="BP106" s="145"/>
      <c r="CE106" s="118"/>
      <c r="CF106" s="118"/>
      <c r="CG106" s="118"/>
      <c r="CH106" s="46"/>
    </row>
    <row r="107" spans="1:86" s="44" customFormat="1" ht="32.25" customHeight="1" x14ac:dyDescent="0.25">
      <c r="A107" s="986" t="e">
        <f>Psychologia!#REF!</f>
        <v>#REF!</v>
      </c>
      <c r="B107" s="987" t="e">
        <f>IF(Psychologia!#REF!&gt;0,Psychologia!#REF!," ")</f>
        <v>#REF!</v>
      </c>
      <c r="C107" s="988" t="e">
        <f>IF(Psychologia!#REF!&gt;0,Psychologia!#REF!," ")</f>
        <v>#REF!</v>
      </c>
      <c r="D107" s="988" t="e">
        <f>IF(Psychologia!#REF!&gt;0,Psychologia!#REF!," ")</f>
        <v>#REF!</v>
      </c>
      <c r="E107" s="987" t="e">
        <f>IF(Psychologia!#REF!&gt;0,Psychologia!#REF!," ")</f>
        <v>#REF!</v>
      </c>
      <c r="F107" s="989" t="e">
        <f>IF(Psychologia!#REF!&gt;0,Psychologia!#REF!," ")</f>
        <v>#REF!</v>
      </c>
      <c r="G107" s="989" t="e">
        <f>IF(Psychologia!#REF!&gt;0,Psychologia!#REF!," ")</f>
        <v>#REF!</v>
      </c>
      <c r="H107" s="990" t="e">
        <f>IF(Psychologia!#REF!&gt;0,Psychologia!#REF!," ")</f>
        <v>#REF!</v>
      </c>
      <c r="I107" s="990" t="e">
        <f>IF(Psychologia!#REF!&gt;0,Psychologia!#REF!," ")</f>
        <v>#REF!</v>
      </c>
      <c r="J107" s="372" t="e">
        <f>Psychologia!#REF!+Psychologia!#REF!</f>
        <v>#REF!</v>
      </c>
      <c r="K107" s="373" t="e">
        <f>Psychologia!#REF!+Psychologia!#REF!</f>
        <v>#REF!</v>
      </c>
      <c r="L107" s="374" t="e">
        <f>Psychologia!#REF!+Psychologia!#REF!</f>
        <v>#REF!</v>
      </c>
      <c r="M107" s="375" t="e">
        <f>Psychologia!#REF!+Psychologia!#REF!+Psychologia!#REF!+Psychologia!#REF!</f>
        <v>#REF!</v>
      </c>
      <c r="N107" s="376" t="e">
        <f>Psychologia!#REF!+Psychologia!#REF!</f>
        <v>#REF!</v>
      </c>
      <c r="O107" s="377" t="e">
        <f>Psychologia!#REF!+Psychologia!#REF!</f>
        <v>#REF!</v>
      </c>
      <c r="P107" s="378" t="e">
        <f>IF(Psychologia!#REF!&gt;0,Psychologia!#REF!," ")</f>
        <v>#REF!</v>
      </c>
      <c r="Q107" s="389">
        <f t="shared" si="28"/>
        <v>0</v>
      </c>
      <c r="R107" s="390">
        <f t="shared" si="29"/>
        <v>0</v>
      </c>
      <c r="S107" s="394">
        <f t="shared" si="30"/>
        <v>0</v>
      </c>
      <c r="T107" s="978"/>
      <c r="U107" s="979"/>
      <c r="V107" s="979"/>
      <c r="W107" s="979"/>
      <c r="X107" s="979"/>
      <c r="Y107" s="979"/>
      <c r="Z107" s="979"/>
      <c r="AA107" s="979"/>
      <c r="AB107" s="979"/>
      <c r="AC107" s="979"/>
      <c r="AD107" s="979"/>
      <c r="AE107" s="979"/>
      <c r="AF107" s="978"/>
      <c r="AG107" s="979"/>
      <c r="AH107" s="979"/>
      <c r="AI107" s="979"/>
      <c r="AJ107" s="979"/>
      <c r="AK107" s="979"/>
      <c r="AL107" s="979"/>
      <c r="AM107" s="979"/>
      <c r="AN107" s="979"/>
      <c r="AO107" s="979"/>
      <c r="AP107" s="979"/>
      <c r="AQ107" s="979"/>
      <c r="AR107" s="979"/>
      <c r="AS107" s="979"/>
      <c r="AT107" s="979"/>
      <c r="AU107" s="979"/>
      <c r="AV107" s="979"/>
      <c r="AW107" s="979"/>
      <c r="AX107" s="979"/>
      <c r="AY107" s="979"/>
      <c r="AZ107" s="979"/>
      <c r="BA107" s="979"/>
      <c r="BB107" s="979"/>
      <c r="BC107" s="979"/>
      <c r="BD107" s="980"/>
      <c r="BE107" s="980"/>
      <c r="BF107" s="980"/>
      <c r="BG107" s="980"/>
      <c r="BH107" s="981"/>
      <c r="BI107" s="982"/>
      <c r="BJ107" s="982"/>
      <c r="BK107" s="983"/>
      <c r="BL107" s="983"/>
      <c r="BM107" s="983"/>
      <c r="BN107" s="983"/>
      <c r="BO107" s="983"/>
      <c r="BP107" s="984"/>
      <c r="CE107" s="118"/>
      <c r="CF107" s="118"/>
      <c r="CG107" s="118"/>
      <c r="CH107" s="46"/>
    </row>
    <row r="108" spans="1:86" s="44" customFormat="1" ht="32.25" customHeight="1" x14ac:dyDescent="0.25">
      <c r="A108" s="46" t="e">
        <f>Psychologia!#REF!</f>
        <v>#REF!</v>
      </c>
      <c r="B108" s="127" t="e">
        <f>IF(Psychologia!#REF!&gt;0,Psychologia!#REF!," ")</f>
        <v>#REF!</v>
      </c>
      <c r="C108" s="128" t="e">
        <f>IF(Psychologia!#REF!&gt;0,Psychologia!#REF!," ")</f>
        <v>#REF!</v>
      </c>
      <c r="D108" s="128" t="e">
        <f>IF(Psychologia!#REF!&gt;0,Psychologia!#REF!," ")</f>
        <v>#REF!</v>
      </c>
      <c r="E108" s="127" t="e">
        <f>IF(Psychologia!#REF!&gt;0,Psychologia!#REF!," ")</f>
        <v>#REF!</v>
      </c>
      <c r="F108" s="32" t="e">
        <f>IF(Psychologia!#REF!&gt;0,Psychologia!#REF!," ")</f>
        <v>#REF!</v>
      </c>
      <c r="G108" s="32" t="e">
        <f>IF(Psychologia!#REF!&gt;0,Psychologia!#REF!," ")</f>
        <v>#REF!</v>
      </c>
      <c r="H108" s="122" t="e">
        <f>IF(Psychologia!#REF!&gt;0,Psychologia!#REF!," ")</f>
        <v>#REF!</v>
      </c>
      <c r="I108" s="122" t="e">
        <f>IF(Psychologia!#REF!&gt;0,Psychologia!#REF!," ")</f>
        <v>#REF!</v>
      </c>
      <c r="J108" s="372" t="e">
        <f>Psychologia!#REF!+Psychologia!#REF!</f>
        <v>#REF!</v>
      </c>
      <c r="K108" s="373" t="e">
        <f>Psychologia!#REF!+Psychologia!#REF!</f>
        <v>#REF!</v>
      </c>
      <c r="L108" s="374" t="e">
        <f>Psychologia!#REF!+Psychologia!#REF!</f>
        <v>#REF!</v>
      </c>
      <c r="M108" s="375" t="e">
        <f>Psychologia!#REF!+Psychologia!#REF!+Psychologia!#REF!+Psychologia!#REF!</f>
        <v>#REF!</v>
      </c>
      <c r="N108" s="376" t="e">
        <f>Psychologia!#REF!+Psychologia!#REF!</f>
        <v>#REF!</v>
      </c>
      <c r="O108" s="377" t="e">
        <f>Psychologia!#REF!+Psychologia!#REF!</f>
        <v>#REF!</v>
      </c>
      <c r="P108" s="378" t="e">
        <f>IF(Psychologia!#REF!&gt;0,Psychologia!#REF!," ")</f>
        <v>#REF!</v>
      </c>
      <c r="Q108" s="389">
        <f t="shared" si="28"/>
        <v>0</v>
      </c>
      <c r="R108" s="390">
        <f t="shared" si="29"/>
        <v>0</v>
      </c>
      <c r="S108" s="394">
        <f t="shared" si="30"/>
        <v>0</v>
      </c>
      <c r="T108" s="132"/>
      <c r="U108" s="131"/>
      <c r="V108" s="131"/>
      <c r="W108" s="131"/>
      <c r="X108" s="131"/>
      <c r="Y108" s="131"/>
      <c r="Z108" s="131"/>
      <c r="AA108" s="131"/>
      <c r="AB108" s="131"/>
      <c r="AC108" s="131"/>
      <c r="AD108" s="131"/>
      <c r="AE108" s="131"/>
      <c r="AF108" s="132"/>
      <c r="AG108" s="131"/>
      <c r="AH108" s="131"/>
      <c r="AI108" s="131"/>
      <c r="AJ108" s="131"/>
      <c r="AK108" s="131"/>
      <c r="AL108" s="131"/>
      <c r="AM108" s="131"/>
      <c r="AN108" s="131"/>
      <c r="AO108" s="131"/>
      <c r="AP108" s="131"/>
      <c r="AQ108" s="131"/>
      <c r="AR108" s="131"/>
      <c r="AS108" s="131"/>
      <c r="AT108" s="131"/>
      <c r="AU108" s="131"/>
      <c r="AV108" s="131"/>
      <c r="AW108" s="131"/>
      <c r="AX108" s="131"/>
      <c r="AY108" s="131"/>
      <c r="AZ108" s="131"/>
      <c r="BA108" s="131"/>
      <c r="BB108" s="131"/>
      <c r="BC108" s="131"/>
      <c r="BD108" s="348"/>
      <c r="BE108" s="348"/>
      <c r="BF108" s="348"/>
      <c r="BG108" s="348"/>
      <c r="BH108" s="144"/>
      <c r="BI108" s="136"/>
      <c r="BJ108" s="136"/>
      <c r="BK108" s="349"/>
      <c r="BL108" s="349"/>
      <c r="BM108" s="349"/>
      <c r="BN108" s="349"/>
      <c r="BO108" s="349"/>
      <c r="BP108" s="145"/>
      <c r="CE108" s="118"/>
      <c r="CF108" s="118"/>
      <c r="CG108" s="118"/>
      <c r="CH108" s="46"/>
    </row>
    <row r="109" spans="1:86" s="44" customFormat="1" ht="32.25" customHeight="1" x14ac:dyDescent="0.25">
      <c r="A109" s="986" t="e">
        <f>Psychologia!#REF!</f>
        <v>#REF!</v>
      </c>
      <c r="B109" s="987" t="e">
        <f>IF(Psychologia!#REF!&gt;0,Psychologia!#REF!," ")</f>
        <v>#REF!</v>
      </c>
      <c r="C109" s="988" t="e">
        <f>IF(Psychologia!#REF!&gt;0,Psychologia!#REF!," ")</f>
        <v>#REF!</v>
      </c>
      <c r="D109" s="988" t="e">
        <f>IF(Psychologia!#REF!&gt;0,Psychologia!#REF!," ")</f>
        <v>#REF!</v>
      </c>
      <c r="E109" s="987" t="e">
        <f>IF(Psychologia!#REF!&gt;0,Psychologia!#REF!," ")</f>
        <v>#REF!</v>
      </c>
      <c r="F109" s="989" t="e">
        <f>IF(Psychologia!#REF!&gt;0,Psychologia!#REF!," ")</f>
        <v>#REF!</v>
      </c>
      <c r="G109" s="989" t="e">
        <f>IF(Psychologia!#REF!&gt;0,Psychologia!#REF!," ")</f>
        <v>#REF!</v>
      </c>
      <c r="H109" s="990" t="e">
        <f>IF(Psychologia!#REF!&gt;0,Psychologia!#REF!," ")</f>
        <v>#REF!</v>
      </c>
      <c r="I109" s="990" t="e">
        <f>IF(Psychologia!#REF!&gt;0,Psychologia!#REF!," ")</f>
        <v>#REF!</v>
      </c>
      <c r="J109" s="372" t="e">
        <f>Psychologia!#REF!+Psychologia!#REF!</f>
        <v>#REF!</v>
      </c>
      <c r="K109" s="373" t="e">
        <f>Psychologia!#REF!+Psychologia!#REF!</f>
        <v>#REF!</v>
      </c>
      <c r="L109" s="374" t="e">
        <f>Psychologia!#REF!+Psychologia!#REF!</f>
        <v>#REF!</v>
      </c>
      <c r="M109" s="375" t="e">
        <f>Psychologia!#REF!+Psychologia!#REF!+Psychologia!#REF!+Psychologia!#REF!</f>
        <v>#REF!</v>
      </c>
      <c r="N109" s="376" t="e">
        <f>Psychologia!#REF!+Psychologia!#REF!</f>
        <v>#REF!</v>
      </c>
      <c r="O109" s="377" t="e">
        <f>Psychologia!#REF!+Psychologia!#REF!</f>
        <v>#REF!</v>
      </c>
      <c r="P109" s="378" t="e">
        <f>IF(Psychologia!#REF!&gt;0,Psychologia!#REF!," ")</f>
        <v>#REF!</v>
      </c>
      <c r="Q109" s="389">
        <f t="shared" si="28"/>
        <v>0</v>
      </c>
      <c r="R109" s="390">
        <f t="shared" si="29"/>
        <v>0</v>
      </c>
      <c r="S109" s="394">
        <f t="shared" si="30"/>
        <v>0</v>
      </c>
      <c r="T109" s="978"/>
      <c r="U109" s="979"/>
      <c r="V109" s="979"/>
      <c r="W109" s="979"/>
      <c r="X109" s="979"/>
      <c r="Y109" s="979"/>
      <c r="Z109" s="979"/>
      <c r="AA109" s="979"/>
      <c r="AB109" s="979"/>
      <c r="AC109" s="979"/>
      <c r="AD109" s="979"/>
      <c r="AE109" s="979"/>
      <c r="AF109" s="978"/>
      <c r="AG109" s="979"/>
      <c r="AH109" s="979"/>
      <c r="AI109" s="979"/>
      <c r="AJ109" s="979"/>
      <c r="AK109" s="979"/>
      <c r="AL109" s="979"/>
      <c r="AM109" s="979"/>
      <c r="AN109" s="979"/>
      <c r="AO109" s="979"/>
      <c r="AP109" s="979"/>
      <c r="AQ109" s="979"/>
      <c r="AR109" s="979"/>
      <c r="AS109" s="979"/>
      <c r="AT109" s="979"/>
      <c r="AU109" s="979"/>
      <c r="AV109" s="979"/>
      <c r="AW109" s="979"/>
      <c r="AX109" s="979"/>
      <c r="AY109" s="979"/>
      <c r="AZ109" s="979"/>
      <c r="BA109" s="979"/>
      <c r="BB109" s="979"/>
      <c r="BC109" s="979"/>
      <c r="BD109" s="980"/>
      <c r="BE109" s="980"/>
      <c r="BF109" s="980"/>
      <c r="BG109" s="980"/>
      <c r="BH109" s="981"/>
      <c r="BI109" s="982"/>
      <c r="BJ109" s="982"/>
      <c r="BK109" s="983"/>
      <c r="BL109" s="983"/>
      <c r="BM109" s="983"/>
      <c r="BN109" s="983"/>
      <c r="BO109" s="983"/>
      <c r="BP109" s="984"/>
      <c r="CE109" s="118"/>
      <c r="CF109" s="118"/>
      <c r="CG109" s="118"/>
      <c r="CH109" s="46"/>
    </row>
    <row r="110" spans="1:86" s="44" customFormat="1" ht="32.25" customHeight="1" x14ac:dyDescent="0.25">
      <c r="A110" s="986" t="e">
        <f>Psychologia!#REF!</f>
        <v>#REF!</v>
      </c>
      <c r="B110" s="987" t="e">
        <f>IF(Psychologia!#REF!&gt;0,Psychologia!#REF!," ")</f>
        <v>#REF!</v>
      </c>
      <c r="C110" s="988" t="e">
        <f>IF(Psychologia!#REF!&gt;0,Psychologia!#REF!," ")</f>
        <v>#REF!</v>
      </c>
      <c r="D110" s="988" t="e">
        <f>IF(Psychologia!#REF!&gt;0,Psychologia!#REF!," ")</f>
        <v>#REF!</v>
      </c>
      <c r="E110" s="987" t="e">
        <f>IF(Psychologia!#REF!&gt;0,Psychologia!#REF!," ")</f>
        <v>#REF!</v>
      </c>
      <c r="F110" s="989" t="e">
        <f>IF(Psychologia!#REF!&gt;0,Psychologia!#REF!," ")</f>
        <v>#REF!</v>
      </c>
      <c r="G110" s="989" t="e">
        <f>IF(Psychologia!#REF!&gt;0,Psychologia!#REF!," ")</f>
        <v>#REF!</v>
      </c>
      <c r="H110" s="990" t="e">
        <f>IF(Psychologia!#REF!&gt;0,Psychologia!#REF!," ")</f>
        <v>#REF!</v>
      </c>
      <c r="I110" s="990" t="e">
        <f>IF(Psychologia!#REF!&gt;0,Psychologia!#REF!," ")</f>
        <v>#REF!</v>
      </c>
      <c r="J110" s="372" t="e">
        <f>Psychologia!#REF!+Psychologia!#REF!</f>
        <v>#REF!</v>
      </c>
      <c r="K110" s="373" t="e">
        <f>Psychologia!#REF!+Psychologia!#REF!</f>
        <v>#REF!</v>
      </c>
      <c r="L110" s="374" t="e">
        <f>Psychologia!#REF!+Psychologia!#REF!</f>
        <v>#REF!</v>
      </c>
      <c r="M110" s="375" t="e">
        <f>Psychologia!#REF!+Psychologia!#REF!+Psychologia!#REF!+Psychologia!#REF!</f>
        <v>#REF!</v>
      </c>
      <c r="N110" s="376" t="e">
        <f>Psychologia!#REF!+Psychologia!#REF!</f>
        <v>#REF!</v>
      </c>
      <c r="O110" s="377" t="e">
        <f>Psychologia!#REF!+Psychologia!#REF!</f>
        <v>#REF!</v>
      </c>
      <c r="P110" s="378" t="e">
        <f>IF(Psychologia!#REF!&gt;0,Psychologia!#REF!," ")</f>
        <v>#REF!</v>
      </c>
      <c r="Q110" s="389">
        <f t="shared" si="28"/>
        <v>0</v>
      </c>
      <c r="R110" s="390">
        <f t="shared" si="29"/>
        <v>0</v>
      </c>
      <c r="S110" s="394">
        <f t="shared" si="30"/>
        <v>0</v>
      </c>
      <c r="T110" s="978"/>
      <c r="U110" s="979"/>
      <c r="V110" s="979"/>
      <c r="W110" s="979"/>
      <c r="X110" s="979"/>
      <c r="Y110" s="979"/>
      <c r="Z110" s="979"/>
      <c r="AA110" s="979"/>
      <c r="AB110" s="979"/>
      <c r="AC110" s="979"/>
      <c r="AD110" s="979"/>
      <c r="AE110" s="979"/>
      <c r="AF110" s="978"/>
      <c r="AG110" s="979"/>
      <c r="AH110" s="979"/>
      <c r="AI110" s="979"/>
      <c r="AJ110" s="979"/>
      <c r="AK110" s="979"/>
      <c r="AL110" s="979"/>
      <c r="AM110" s="979"/>
      <c r="AN110" s="979"/>
      <c r="AO110" s="979"/>
      <c r="AP110" s="979"/>
      <c r="AQ110" s="979"/>
      <c r="AR110" s="979"/>
      <c r="AS110" s="979"/>
      <c r="AT110" s="979"/>
      <c r="AU110" s="979"/>
      <c r="AV110" s="979"/>
      <c r="AW110" s="979"/>
      <c r="AX110" s="979"/>
      <c r="AY110" s="979"/>
      <c r="AZ110" s="979"/>
      <c r="BA110" s="979"/>
      <c r="BB110" s="979"/>
      <c r="BC110" s="979"/>
      <c r="BD110" s="980"/>
      <c r="BE110" s="980"/>
      <c r="BF110" s="980"/>
      <c r="BG110" s="980"/>
      <c r="BH110" s="981"/>
      <c r="BI110" s="982"/>
      <c r="BJ110" s="982"/>
      <c r="BK110" s="983"/>
      <c r="BL110" s="983"/>
      <c r="BM110" s="983"/>
      <c r="BN110" s="983"/>
      <c r="BO110" s="983"/>
      <c r="BP110" s="984"/>
      <c r="CE110" s="118"/>
      <c r="CF110" s="118"/>
      <c r="CG110" s="118"/>
      <c r="CH110" s="46"/>
    </row>
    <row r="111" spans="1:86" s="44" customFormat="1" ht="32.25" customHeight="1" x14ac:dyDescent="0.25">
      <c r="A111" s="46" t="e">
        <f>Psychologia!#REF!</f>
        <v>#REF!</v>
      </c>
      <c r="B111" s="127" t="e">
        <f>IF(Psychologia!#REF!&gt;0,Psychologia!#REF!," ")</f>
        <v>#REF!</v>
      </c>
      <c r="C111" s="128" t="e">
        <f>IF(Psychologia!#REF!&gt;0,Psychologia!#REF!," ")</f>
        <v>#REF!</v>
      </c>
      <c r="D111" s="128" t="e">
        <f>IF(Psychologia!#REF!&gt;0,Psychologia!#REF!," ")</f>
        <v>#REF!</v>
      </c>
      <c r="E111" s="127" t="e">
        <f>IF(Psychologia!#REF!&gt;0,Psychologia!#REF!," ")</f>
        <v>#REF!</v>
      </c>
      <c r="F111" s="32" t="e">
        <f>IF(Psychologia!#REF!&gt;0,Psychologia!#REF!," ")</f>
        <v>#REF!</v>
      </c>
      <c r="G111" s="32" t="e">
        <f>IF(Psychologia!#REF!&gt;0,Psychologia!#REF!," ")</f>
        <v>#REF!</v>
      </c>
      <c r="H111" s="122" t="e">
        <f>IF(Psychologia!#REF!&gt;0,Psychologia!#REF!," ")</f>
        <v>#REF!</v>
      </c>
      <c r="I111" s="122" t="e">
        <f>IF(Psychologia!#REF!&gt;0,Psychologia!#REF!," ")</f>
        <v>#REF!</v>
      </c>
      <c r="J111" s="372" t="e">
        <f>Psychologia!#REF!+Psychologia!#REF!</f>
        <v>#REF!</v>
      </c>
      <c r="K111" s="373" t="e">
        <f>Psychologia!#REF!+Psychologia!#REF!</f>
        <v>#REF!</v>
      </c>
      <c r="L111" s="374" t="e">
        <f>Psychologia!#REF!+Psychologia!#REF!</f>
        <v>#REF!</v>
      </c>
      <c r="M111" s="375" t="e">
        <f>Psychologia!#REF!+Psychologia!#REF!+Psychologia!#REF!+Psychologia!#REF!</f>
        <v>#REF!</v>
      </c>
      <c r="N111" s="376" t="e">
        <f>Psychologia!#REF!+Psychologia!#REF!</f>
        <v>#REF!</v>
      </c>
      <c r="O111" s="377" t="e">
        <f>Psychologia!#REF!+Psychologia!#REF!</f>
        <v>#REF!</v>
      </c>
      <c r="P111" s="378" t="e">
        <f>IF(Psychologia!#REF!&gt;0,Psychologia!#REF!," ")</f>
        <v>#REF!</v>
      </c>
      <c r="Q111" s="389">
        <f t="shared" si="28"/>
        <v>0</v>
      </c>
      <c r="R111" s="390">
        <f t="shared" si="29"/>
        <v>0</v>
      </c>
      <c r="S111" s="394">
        <f t="shared" si="30"/>
        <v>0</v>
      </c>
      <c r="T111" s="132"/>
      <c r="U111" s="131"/>
      <c r="V111" s="131"/>
      <c r="W111" s="131"/>
      <c r="X111" s="131"/>
      <c r="Y111" s="131"/>
      <c r="Z111" s="131"/>
      <c r="AA111" s="131"/>
      <c r="AB111" s="131"/>
      <c r="AC111" s="131"/>
      <c r="AD111" s="131"/>
      <c r="AE111" s="131"/>
      <c r="AF111" s="132"/>
      <c r="AG111" s="131"/>
      <c r="AH111" s="131"/>
      <c r="AI111" s="131"/>
      <c r="AJ111" s="131"/>
      <c r="AK111" s="131"/>
      <c r="AL111" s="131"/>
      <c r="AM111" s="131"/>
      <c r="AN111" s="131"/>
      <c r="AO111" s="131"/>
      <c r="AP111" s="131"/>
      <c r="AQ111" s="131"/>
      <c r="AR111" s="131"/>
      <c r="AS111" s="131"/>
      <c r="AT111" s="131"/>
      <c r="AU111" s="131"/>
      <c r="AV111" s="131"/>
      <c r="AW111" s="131"/>
      <c r="AX111" s="131"/>
      <c r="AY111" s="131"/>
      <c r="AZ111" s="131"/>
      <c r="BA111" s="131"/>
      <c r="BB111" s="131"/>
      <c r="BC111" s="131"/>
      <c r="BD111" s="348"/>
      <c r="BE111" s="348"/>
      <c r="BF111" s="348"/>
      <c r="BG111" s="348"/>
      <c r="BH111" s="144"/>
      <c r="BI111" s="136"/>
      <c r="BJ111" s="136"/>
      <c r="BK111" s="349"/>
      <c r="BL111" s="349"/>
      <c r="BM111" s="349"/>
      <c r="BN111" s="349"/>
      <c r="BO111" s="349"/>
      <c r="BP111" s="145"/>
      <c r="CE111" s="118"/>
      <c r="CF111" s="118"/>
      <c r="CG111" s="118"/>
      <c r="CH111" s="46"/>
    </row>
    <row r="112" spans="1:86" s="44" customFormat="1" ht="32.25" customHeight="1" x14ac:dyDescent="0.25">
      <c r="A112" s="46" t="e">
        <f>Psychologia!#REF!</f>
        <v>#REF!</v>
      </c>
      <c r="B112" s="127" t="e">
        <f>IF(Psychologia!#REF!&gt;0,Psychologia!#REF!," ")</f>
        <v>#REF!</v>
      </c>
      <c r="C112" s="128" t="e">
        <f>IF(Psychologia!#REF!&gt;0,Psychologia!#REF!," ")</f>
        <v>#REF!</v>
      </c>
      <c r="D112" s="128" t="e">
        <f>IF(Psychologia!#REF!&gt;0,Psychologia!#REF!," ")</f>
        <v>#REF!</v>
      </c>
      <c r="E112" s="127" t="e">
        <f>IF(Psychologia!#REF!&gt;0,Psychologia!#REF!," ")</f>
        <v>#REF!</v>
      </c>
      <c r="F112" s="32" t="e">
        <f>IF(Psychologia!#REF!&gt;0,Psychologia!#REF!," ")</f>
        <v>#REF!</v>
      </c>
      <c r="G112" s="32" t="e">
        <f>IF(Psychologia!#REF!&gt;0,Psychologia!#REF!," ")</f>
        <v>#REF!</v>
      </c>
      <c r="H112" s="122" t="e">
        <f>IF(Psychologia!#REF!&gt;0,Psychologia!#REF!," ")</f>
        <v>#REF!</v>
      </c>
      <c r="I112" s="122" t="e">
        <f>IF(Psychologia!#REF!&gt;0,Psychologia!#REF!," ")</f>
        <v>#REF!</v>
      </c>
      <c r="J112" s="372" t="e">
        <f>Psychologia!#REF!+Psychologia!#REF!</f>
        <v>#REF!</v>
      </c>
      <c r="K112" s="373" t="e">
        <f>Psychologia!#REF!+Psychologia!#REF!</f>
        <v>#REF!</v>
      </c>
      <c r="L112" s="374" t="e">
        <f>Psychologia!#REF!+Psychologia!#REF!</f>
        <v>#REF!</v>
      </c>
      <c r="M112" s="375" t="e">
        <f>Psychologia!#REF!+Psychologia!#REF!+Psychologia!#REF!+Psychologia!#REF!</f>
        <v>#REF!</v>
      </c>
      <c r="N112" s="376" t="e">
        <f>Psychologia!#REF!+Psychologia!#REF!</f>
        <v>#REF!</v>
      </c>
      <c r="O112" s="377" t="e">
        <f>Psychologia!#REF!+Psychologia!#REF!</f>
        <v>#REF!</v>
      </c>
      <c r="P112" s="378" t="e">
        <f>IF(Psychologia!#REF!&gt;0,Psychologia!#REF!," ")</f>
        <v>#REF!</v>
      </c>
      <c r="Q112" s="389">
        <f t="shared" si="28"/>
        <v>0</v>
      </c>
      <c r="R112" s="390">
        <f t="shared" si="29"/>
        <v>0</v>
      </c>
      <c r="S112" s="394">
        <f t="shared" si="30"/>
        <v>0</v>
      </c>
      <c r="T112" s="132"/>
      <c r="U112" s="131"/>
      <c r="V112" s="131"/>
      <c r="W112" s="131"/>
      <c r="X112" s="131"/>
      <c r="Y112" s="131"/>
      <c r="Z112" s="131"/>
      <c r="AA112" s="131"/>
      <c r="AB112" s="131"/>
      <c r="AC112" s="131"/>
      <c r="AD112" s="131"/>
      <c r="AE112" s="131"/>
      <c r="AF112" s="132"/>
      <c r="AG112" s="131"/>
      <c r="AH112" s="131"/>
      <c r="AI112" s="131"/>
      <c r="AJ112" s="131"/>
      <c r="AK112" s="131"/>
      <c r="AL112" s="131"/>
      <c r="AM112" s="131"/>
      <c r="AN112" s="131"/>
      <c r="AO112" s="131"/>
      <c r="AP112" s="131"/>
      <c r="AQ112" s="131"/>
      <c r="AR112" s="131"/>
      <c r="AS112" s="131"/>
      <c r="AT112" s="131"/>
      <c r="AU112" s="131"/>
      <c r="AV112" s="131"/>
      <c r="AW112" s="131"/>
      <c r="AX112" s="131"/>
      <c r="AY112" s="131"/>
      <c r="AZ112" s="131"/>
      <c r="BA112" s="131"/>
      <c r="BB112" s="131"/>
      <c r="BC112" s="131"/>
      <c r="BD112" s="348"/>
      <c r="BE112" s="348"/>
      <c r="BF112" s="348"/>
      <c r="BG112" s="348"/>
      <c r="BH112" s="144"/>
      <c r="BI112" s="136"/>
      <c r="BJ112" s="136"/>
      <c r="BK112" s="349"/>
      <c r="BL112" s="349"/>
      <c r="BM112" s="349"/>
      <c r="BN112" s="349"/>
      <c r="BO112" s="349"/>
      <c r="BP112" s="145"/>
      <c r="CE112" s="118"/>
      <c r="CF112" s="118"/>
      <c r="CG112" s="118"/>
      <c r="CH112" s="46"/>
    </row>
    <row r="113" spans="1:86" s="44" customFormat="1" ht="32.25" customHeight="1" x14ac:dyDescent="0.25">
      <c r="A113" s="46" t="e">
        <f>Psychologia!#REF!</f>
        <v>#REF!</v>
      </c>
      <c r="B113" s="127" t="e">
        <f>IF(Psychologia!#REF!&gt;0,Psychologia!#REF!," ")</f>
        <v>#REF!</v>
      </c>
      <c r="C113" s="128" t="e">
        <f>IF(Psychologia!#REF!&gt;0,Psychologia!#REF!," ")</f>
        <v>#REF!</v>
      </c>
      <c r="D113" s="128" t="e">
        <f>IF(Psychologia!#REF!&gt;0,Psychologia!#REF!," ")</f>
        <v>#REF!</v>
      </c>
      <c r="E113" s="127" t="e">
        <f>IF(Psychologia!#REF!&gt;0,Psychologia!#REF!," ")</f>
        <v>#REF!</v>
      </c>
      <c r="F113" s="32" t="e">
        <f>IF(Psychologia!#REF!&gt;0,Psychologia!#REF!," ")</f>
        <v>#REF!</v>
      </c>
      <c r="G113" s="32" t="e">
        <f>IF(Psychologia!#REF!&gt;0,Psychologia!#REF!," ")</f>
        <v>#REF!</v>
      </c>
      <c r="H113" s="122" t="e">
        <f>IF(Psychologia!#REF!&gt;0,Psychologia!#REF!," ")</f>
        <v>#REF!</v>
      </c>
      <c r="I113" s="122" t="e">
        <f>IF(Psychologia!#REF!&gt;0,Psychologia!#REF!," ")</f>
        <v>#REF!</v>
      </c>
      <c r="J113" s="372" t="e">
        <f>Psychologia!#REF!+Psychologia!#REF!</f>
        <v>#REF!</v>
      </c>
      <c r="K113" s="373" t="e">
        <f>Psychologia!#REF!+Psychologia!#REF!</f>
        <v>#REF!</v>
      </c>
      <c r="L113" s="374" t="e">
        <f>Psychologia!#REF!+Psychologia!#REF!</f>
        <v>#REF!</v>
      </c>
      <c r="M113" s="375" t="e">
        <f>Psychologia!#REF!+Psychologia!#REF!+Psychologia!#REF!+Psychologia!#REF!</f>
        <v>#REF!</v>
      </c>
      <c r="N113" s="376" t="e">
        <f>Psychologia!#REF!+Psychologia!#REF!</f>
        <v>#REF!</v>
      </c>
      <c r="O113" s="377" t="e">
        <f>Psychologia!#REF!+Psychologia!#REF!</f>
        <v>#REF!</v>
      </c>
      <c r="P113" s="378" t="e">
        <f>IF(Psychologia!#REF!&gt;0,Psychologia!#REF!," ")</f>
        <v>#REF!</v>
      </c>
      <c r="Q113" s="389">
        <f t="shared" si="28"/>
        <v>0</v>
      </c>
      <c r="R113" s="390">
        <f t="shared" si="29"/>
        <v>0</v>
      </c>
      <c r="S113" s="394">
        <f t="shared" si="30"/>
        <v>0</v>
      </c>
      <c r="T113" s="132"/>
      <c r="U113" s="131"/>
      <c r="V113" s="131"/>
      <c r="W113" s="131"/>
      <c r="X113" s="131"/>
      <c r="Y113" s="131"/>
      <c r="Z113" s="131"/>
      <c r="AA113" s="131"/>
      <c r="AB113" s="131"/>
      <c r="AC113" s="131"/>
      <c r="AD113" s="131"/>
      <c r="AE113" s="131"/>
      <c r="AF113" s="132"/>
      <c r="AG113" s="131"/>
      <c r="AH113" s="131"/>
      <c r="AI113" s="131"/>
      <c r="AJ113" s="131"/>
      <c r="AK113" s="131"/>
      <c r="AL113" s="131"/>
      <c r="AM113" s="131"/>
      <c r="AN113" s="131"/>
      <c r="AO113" s="131"/>
      <c r="AP113" s="131"/>
      <c r="AQ113" s="131"/>
      <c r="AR113" s="131"/>
      <c r="AS113" s="131"/>
      <c r="AT113" s="131"/>
      <c r="AU113" s="131"/>
      <c r="AV113" s="131"/>
      <c r="AW113" s="131"/>
      <c r="AX113" s="131"/>
      <c r="AY113" s="131"/>
      <c r="AZ113" s="131"/>
      <c r="BA113" s="131"/>
      <c r="BB113" s="131"/>
      <c r="BC113" s="131"/>
      <c r="BD113" s="348"/>
      <c r="BE113" s="348"/>
      <c r="BF113" s="348"/>
      <c r="BG113" s="348"/>
      <c r="BH113" s="144"/>
      <c r="BI113" s="136"/>
      <c r="BJ113" s="136"/>
      <c r="BK113" s="349"/>
      <c r="BL113" s="349"/>
      <c r="BM113" s="349"/>
      <c r="BN113" s="349"/>
      <c r="BO113" s="349"/>
      <c r="BP113" s="145"/>
      <c r="CE113" s="118"/>
      <c r="CF113" s="118"/>
      <c r="CG113" s="118"/>
      <c r="CH113" s="46"/>
    </row>
    <row r="114" spans="1:86" s="44" customFormat="1" ht="32.25" customHeight="1" x14ac:dyDescent="0.25">
      <c r="A114" s="46" t="e">
        <f>Psychologia!#REF!</f>
        <v>#REF!</v>
      </c>
      <c r="B114" s="127" t="e">
        <f>IF(Psychologia!#REF!&gt;0,Psychologia!#REF!," ")</f>
        <v>#REF!</v>
      </c>
      <c r="C114" s="128" t="e">
        <f>IF(Psychologia!#REF!&gt;0,Psychologia!#REF!," ")</f>
        <v>#REF!</v>
      </c>
      <c r="D114" s="128" t="e">
        <f>IF(Psychologia!#REF!&gt;0,Psychologia!#REF!," ")</f>
        <v>#REF!</v>
      </c>
      <c r="E114" s="127" t="e">
        <f>IF(Psychologia!#REF!&gt;0,Psychologia!#REF!," ")</f>
        <v>#REF!</v>
      </c>
      <c r="F114" s="32" t="e">
        <f>IF(Psychologia!#REF!&gt;0,Psychologia!#REF!," ")</f>
        <v>#REF!</v>
      </c>
      <c r="G114" s="32" t="e">
        <f>IF(Psychologia!#REF!&gt;0,Psychologia!#REF!," ")</f>
        <v>#REF!</v>
      </c>
      <c r="H114" s="122" t="e">
        <f>IF(Psychologia!#REF!&gt;0,Psychologia!#REF!," ")</f>
        <v>#REF!</v>
      </c>
      <c r="I114" s="122" t="e">
        <f>IF(Psychologia!#REF!&gt;0,Psychologia!#REF!," ")</f>
        <v>#REF!</v>
      </c>
      <c r="J114" s="372" t="e">
        <f>Psychologia!#REF!+Psychologia!#REF!</f>
        <v>#REF!</v>
      </c>
      <c r="K114" s="373" t="e">
        <f>Psychologia!#REF!+Psychologia!#REF!</f>
        <v>#REF!</v>
      </c>
      <c r="L114" s="374" t="e">
        <f>Psychologia!#REF!+Psychologia!#REF!</f>
        <v>#REF!</v>
      </c>
      <c r="M114" s="375" t="e">
        <f>Psychologia!#REF!+Psychologia!#REF!+Psychologia!#REF!+Psychologia!#REF!</f>
        <v>#REF!</v>
      </c>
      <c r="N114" s="376" t="e">
        <f>Psychologia!#REF!+Psychologia!#REF!</f>
        <v>#REF!</v>
      </c>
      <c r="O114" s="377" t="e">
        <f>Psychologia!#REF!+Psychologia!#REF!</f>
        <v>#REF!</v>
      </c>
      <c r="P114" s="378" t="e">
        <f>IF(Psychologia!#REF!&gt;0,Psychologia!#REF!," ")</f>
        <v>#REF!</v>
      </c>
      <c r="Q114" s="389">
        <f t="shared" si="28"/>
        <v>0</v>
      </c>
      <c r="R114" s="390">
        <f t="shared" si="29"/>
        <v>0</v>
      </c>
      <c r="S114" s="394">
        <f t="shared" si="30"/>
        <v>0</v>
      </c>
      <c r="T114" s="132"/>
      <c r="U114" s="131"/>
      <c r="V114" s="131"/>
      <c r="W114" s="131"/>
      <c r="X114" s="131"/>
      <c r="Y114" s="131"/>
      <c r="Z114" s="131"/>
      <c r="AA114" s="131"/>
      <c r="AB114" s="131"/>
      <c r="AC114" s="131"/>
      <c r="AD114" s="131"/>
      <c r="AE114" s="131"/>
      <c r="AF114" s="132"/>
      <c r="AG114" s="131"/>
      <c r="AH114" s="131"/>
      <c r="AI114" s="131"/>
      <c r="AJ114" s="131"/>
      <c r="AK114" s="131"/>
      <c r="AL114" s="131"/>
      <c r="AM114" s="131"/>
      <c r="AN114" s="131"/>
      <c r="AO114" s="131"/>
      <c r="AP114" s="131"/>
      <c r="AQ114" s="131"/>
      <c r="AR114" s="131"/>
      <c r="AS114" s="131"/>
      <c r="AT114" s="131"/>
      <c r="AU114" s="131"/>
      <c r="AV114" s="131"/>
      <c r="AW114" s="131"/>
      <c r="AX114" s="131"/>
      <c r="AY114" s="131"/>
      <c r="AZ114" s="131"/>
      <c r="BA114" s="131"/>
      <c r="BB114" s="131"/>
      <c r="BC114" s="131"/>
      <c r="BD114" s="348"/>
      <c r="BE114" s="348"/>
      <c r="BF114" s="348"/>
      <c r="BG114" s="348"/>
      <c r="BH114" s="144"/>
      <c r="BI114" s="136"/>
      <c r="BJ114" s="136"/>
      <c r="BK114" s="349"/>
      <c r="BL114" s="349"/>
      <c r="BM114" s="349"/>
      <c r="BN114" s="349"/>
      <c r="BO114" s="349"/>
      <c r="BP114" s="145"/>
      <c r="CE114" s="118"/>
      <c r="CF114" s="118"/>
      <c r="CG114" s="118"/>
      <c r="CH114" s="46"/>
    </row>
    <row r="115" spans="1:86" s="44" customFormat="1" ht="32.25" customHeight="1" x14ac:dyDescent="0.25">
      <c r="A115" s="986" t="e">
        <f>Psychologia!#REF!</f>
        <v>#REF!</v>
      </c>
      <c r="B115" s="987" t="e">
        <f>IF(Psychologia!#REF!&gt;0,Psychologia!#REF!," ")</f>
        <v>#REF!</v>
      </c>
      <c r="C115" s="988" t="e">
        <f>IF(Psychologia!#REF!&gt;0,Psychologia!#REF!," ")</f>
        <v>#REF!</v>
      </c>
      <c r="D115" s="988" t="e">
        <f>IF(Psychologia!#REF!&gt;0,Psychologia!#REF!," ")</f>
        <v>#REF!</v>
      </c>
      <c r="E115" s="987" t="e">
        <f>IF(Psychologia!#REF!&gt;0,Psychologia!#REF!," ")</f>
        <v>#REF!</v>
      </c>
      <c r="F115" s="989" t="e">
        <f>IF(Psychologia!#REF!&gt;0,Psychologia!#REF!," ")</f>
        <v>#REF!</v>
      </c>
      <c r="G115" s="989" t="e">
        <f>IF(Psychologia!#REF!&gt;0,Psychologia!#REF!," ")</f>
        <v>#REF!</v>
      </c>
      <c r="H115" s="990" t="e">
        <f>IF(Psychologia!#REF!&gt;0,Psychologia!#REF!," ")</f>
        <v>#REF!</v>
      </c>
      <c r="I115" s="990" t="e">
        <f>IF(Psychologia!#REF!&gt;0,Psychologia!#REF!," ")</f>
        <v>#REF!</v>
      </c>
      <c r="J115" s="372" t="e">
        <f>Psychologia!#REF!+Psychologia!#REF!</f>
        <v>#REF!</v>
      </c>
      <c r="K115" s="373" t="e">
        <f>Psychologia!#REF!+Psychologia!#REF!</f>
        <v>#REF!</v>
      </c>
      <c r="L115" s="374" t="e">
        <f>Psychologia!#REF!+Psychologia!#REF!</f>
        <v>#REF!</v>
      </c>
      <c r="M115" s="375" t="e">
        <f>Psychologia!#REF!+Psychologia!#REF!+Psychologia!#REF!+Psychologia!#REF!</f>
        <v>#REF!</v>
      </c>
      <c r="N115" s="376" t="e">
        <f>Psychologia!#REF!+Psychologia!#REF!</f>
        <v>#REF!</v>
      </c>
      <c r="O115" s="377" t="e">
        <f>Psychologia!#REF!+Psychologia!#REF!</f>
        <v>#REF!</v>
      </c>
      <c r="P115" s="378" t="e">
        <f>IF(Psychologia!#REF!&gt;0,Psychologia!#REF!," ")</f>
        <v>#REF!</v>
      </c>
      <c r="Q115" s="389">
        <f t="shared" si="28"/>
        <v>0</v>
      </c>
      <c r="R115" s="390">
        <f t="shared" si="29"/>
        <v>0</v>
      </c>
      <c r="S115" s="394">
        <f t="shared" si="30"/>
        <v>0</v>
      </c>
      <c r="T115" s="978"/>
      <c r="U115" s="979"/>
      <c r="V115" s="979"/>
      <c r="W115" s="979"/>
      <c r="X115" s="979"/>
      <c r="Y115" s="979"/>
      <c r="Z115" s="979"/>
      <c r="AA115" s="979"/>
      <c r="AB115" s="979"/>
      <c r="AC115" s="979"/>
      <c r="AD115" s="979"/>
      <c r="AE115" s="979"/>
      <c r="AF115" s="978"/>
      <c r="AG115" s="979"/>
      <c r="AH115" s="979"/>
      <c r="AI115" s="979"/>
      <c r="AJ115" s="979"/>
      <c r="AK115" s="979"/>
      <c r="AL115" s="979"/>
      <c r="AM115" s="979"/>
      <c r="AN115" s="979"/>
      <c r="AO115" s="979"/>
      <c r="AP115" s="979"/>
      <c r="AQ115" s="979"/>
      <c r="AR115" s="979"/>
      <c r="AS115" s="979"/>
      <c r="AT115" s="979"/>
      <c r="AU115" s="979"/>
      <c r="AV115" s="979"/>
      <c r="AW115" s="979"/>
      <c r="AX115" s="979"/>
      <c r="AY115" s="979"/>
      <c r="AZ115" s="979"/>
      <c r="BA115" s="979"/>
      <c r="BB115" s="979"/>
      <c r="BC115" s="979"/>
      <c r="BD115" s="980"/>
      <c r="BE115" s="980"/>
      <c r="BF115" s="980"/>
      <c r="BG115" s="980"/>
      <c r="BH115" s="981"/>
      <c r="BI115" s="982"/>
      <c r="BJ115" s="982"/>
      <c r="BK115" s="983"/>
      <c r="BL115" s="983"/>
      <c r="BM115" s="983"/>
      <c r="BN115" s="983"/>
      <c r="BO115" s="983"/>
      <c r="BP115" s="984"/>
      <c r="CE115" s="118"/>
      <c r="CF115" s="118"/>
      <c r="CG115" s="118"/>
      <c r="CH115" s="46"/>
    </row>
    <row r="116" spans="1:86" s="44" customFormat="1" ht="32.25" customHeight="1" x14ac:dyDescent="0.25">
      <c r="A116" s="986" t="e">
        <f>Psychologia!#REF!</f>
        <v>#REF!</v>
      </c>
      <c r="B116" s="987" t="e">
        <f>IF(Psychologia!#REF!&gt;0,Psychologia!#REF!," ")</f>
        <v>#REF!</v>
      </c>
      <c r="C116" s="988" t="e">
        <f>IF(Psychologia!#REF!&gt;0,Psychologia!#REF!," ")</f>
        <v>#REF!</v>
      </c>
      <c r="D116" s="988" t="e">
        <f>IF(Psychologia!#REF!&gt;0,Psychologia!#REF!," ")</f>
        <v>#REF!</v>
      </c>
      <c r="E116" s="987" t="e">
        <f>IF(Psychologia!#REF!&gt;0,Psychologia!#REF!," ")</f>
        <v>#REF!</v>
      </c>
      <c r="F116" s="989" t="e">
        <f>IF(Psychologia!#REF!&gt;0,Psychologia!#REF!," ")</f>
        <v>#REF!</v>
      </c>
      <c r="G116" s="989" t="e">
        <f>IF(Psychologia!#REF!&gt;0,Psychologia!#REF!," ")</f>
        <v>#REF!</v>
      </c>
      <c r="H116" s="990" t="e">
        <f>IF(Psychologia!#REF!&gt;0,Psychologia!#REF!," ")</f>
        <v>#REF!</v>
      </c>
      <c r="I116" s="990" t="e">
        <f>IF(Psychologia!#REF!&gt;0,Psychologia!#REF!," ")</f>
        <v>#REF!</v>
      </c>
      <c r="J116" s="372" t="e">
        <f>Psychologia!#REF!+Psychologia!#REF!</f>
        <v>#REF!</v>
      </c>
      <c r="K116" s="373" t="e">
        <f>Psychologia!#REF!+Psychologia!#REF!</f>
        <v>#REF!</v>
      </c>
      <c r="L116" s="374" t="e">
        <f>Psychologia!#REF!+Psychologia!#REF!</f>
        <v>#REF!</v>
      </c>
      <c r="M116" s="375" t="e">
        <f>Psychologia!#REF!+Psychologia!#REF!+Psychologia!#REF!+Psychologia!#REF!</f>
        <v>#REF!</v>
      </c>
      <c r="N116" s="376" t="e">
        <f>Psychologia!#REF!+Psychologia!#REF!</f>
        <v>#REF!</v>
      </c>
      <c r="O116" s="377" t="e">
        <f>Psychologia!#REF!+Psychologia!#REF!</f>
        <v>#REF!</v>
      </c>
      <c r="P116" s="378" t="e">
        <f>IF(Psychologia!#REF!&gt;0,Psychologia!#REF!," ")</f>
        <v>#REF!</v>
      </c>
      <c r="Q116" s="389">
        <f t="shared" si="28"/>
        <v>0</v>
      </c>
      <c r="R116" s="390">
        <f t="shared" si="29"/>
        <v>0</v>
      </c>
      <c r="S116" s="394">
        <f t="shared" si="30"/>
        <v>0</v>
      </c>
      <c r="T116" s="978"/>
      <c r="U116" s="979"/>
      <c r="V116" s="979"/>
      <c r="W116" s="979"/>
      <c r="X116" s="979"/>
      <c r="Y116" s="979"/>
      <c r="Z116" s="979"/>
      <c r="AA116" s="979"/>
      <c r="AB116" s="979"/>
      <c r="AC116" s="979"/>
      <c r="AD116" s="979"/>
      <c r="AE116" s="979"/>
      <c r="AF116" s="978"/>
      <c r="AG116" s="979"/>
      <c r="AH116" s="979"/>
      <c r="AI116" s="979"/>
      <c r="AJ116" s="979"/>
      <c r="AK116" s="979"/>
      <c r="AL116" s="979"/>
      <c r="AM116" s="979"/>
      <c r="AN116" s="979"/>
      <c r="AO116" s="979"/>
      <c r="AP116" s="979"/>
      <c r="AQ116" s="979"/>
      <c r="AR116" s="979"/>
      <c r="AS116" s="979"/>
      <c r="AT116" s="979"/>
      <c r="AU116" s="979"/>
      <c r="AV116" s="979"/>
      <c r="AW116" s="979"/>
      <c r="AX116" s="979"/>
      <c r="AY116" s="979"/>
      <c r="AZ116" s="979"/>
      <c r="BA116" s="979"/>
      <c r="BB116" s="979"/>
      <c r="BC116" s="979"/>
      <c r="BD116" s="980"/>
      <c r="BE116" s="980"/>
      <c r="BF116" s="980"/>
      <c r="BG116" s="980"/>
      <c r="BH116" s="981"/>
      <c r="BI116" s="982"/>
      <c r="BJ116" s="982"/>
      <c r="BK116" s="983"/>
      <c r="BL116" s="983"/>
      <c r="BM116" s="983"/>
      <c r="BN116" s="983"/>
      <c r="BO116" s="983"/>
      <c r="BP116" s="984"/>
      <c r="CE116" s="118"/>
      <c r="CF116" s="118"/>
      <c r="CG116" s="118"/>
      <c r="CH116" s="46"/>
    </row>
    <row r="117" spans="1:86" s="44" customFormat="1" ht="32.25" customHeight="1" x14ac:dyDescent="0.25">
      <c r="A117" s="986" t="e">
        <f>Psychologia!#REF!</f>
        <v>#REF!</v>
      </c>
      <c r="B117" s="987" t="e">
        <f>IF(Psychologia!#REF!&gt;0,Psychologia!#REF!," ")</f>
        <v>#REF!</v>
      </c>
      <c r="C117" s="988" t="e">
        <f>IF(Psychologia!#REF!&gt;0,Psychologia!#REF!," ")</f>
        <v>#REF!</v>
      </c>
      <c r="D117" s="988" t="e">
        <f>IF(Psychologia!#REF!&gt;0,Psychologia!#REF!," ")</f>
        <v>#REF!</v>
      </c>
      <c r="E117" s="987" t="e">
        <f>IF(Psychologia!#REF!&gt;0,Psychologia!#REF!," ")</f>
        <v>#REF!</v>
      </c>
      <c r="F117" s="989" t="e">
        <f>IF(Psychologia!#REF!&gt;0,Psychologia!#REF!," ")</f>
        <v>#REF!</v>
      </c>
      <c r="G117" s="989" t="e">
        <f>IF(Psychologia!#REF!&gt;0,Psychologia!#REF!," ")</f>
        <v>#REF!</v>
      </c>
      <c r="H117" s="990" t="e">
        <f>IF(Psychologia!#REF!&gt;0,Psychologia!#REF!," ")</f>
        <v>#REF!</v>
      </c>
      <c r="I117" s="990" t="e">
        <f>IF(Psychologia!#REF!&gt;0,Psychologia!#REF!," ")</f>
        <v>#REF!</v>
      </c>
      <c r="J117" s="372" t="e">
        <f>Psychologia!#REF!+Psychologia!#REF!</f>
        <v>#REF!</v>
      </c>
      <c r="K117" s="373" t="e">
        <f>Psychologia!#REF!+Psychologia!#REF!</f>
        <v>#REF!</v>
      </c>
      <c r="L117" s="374" t="e">
        <f>Psychologia!#REF!+Psychologia!#REF!</f>
        <v>#REF!</v>
      </c>
      <c r="M117" s="375" t="e">
        <f>Psychologia!#REF!+Psychologia!#REF!+Psychologia!#REF!+Psychologia!#REF!</f>
        <v>#REF!</v>
      </c>
      <c r="N117" s="376" t="e">
        <f>Psychologia!#REF!+Psychologia!#REF!</f>
        <v>#REF!</v>
      </c>
      <c r="O117" s="377" t="e">
        <f>Psychologia!#REF!+Psychologia!#REF!</f>
        <v>#REF!</v>
      </c>
      <c r="P117" s="378" t="e">
        <f>IF(Psychologia!#REF!&gt;0,Psychologia!#REF!," ")</f>
        <v>#REF!</v>
      </c>
      <c r="Q117" s="389">
        <f t="shared" si="28"/>
        <v>0</v>
      </c>
      <c r="R117" s="390">
        <f t="shared" si="29"/>
        <v>0</v>
      </c>
      <c r="S117" s="394">
        <f t="shared" si="30"/>
        <v>0</v>
      </c>
      <c r="T117" s="978"/>
      <c r="U117" s="979"/>
      <c r="V117" s="979"/>
      <c r="W117" s="979"/>
      <c r="X117" s="979"/>
      <c r="Y117" s="979"/>
      <c r="Z117" s="979"/>
      <c r="AA117" s="979"/>
      <c r="AB117" s="979"/>
      <c r="AC117" s="979"/>
      <c r="AD117" s="979"/>
      <c r="AE117" s="979"/>
      <c r="AF117" s="978"/>
      <c r="AG117" s="979"/>
      <c r="AH117" s="979"/>
      <c r="AI117" s="979"/>
      <c r="AJ117" s="979"/>
      <c r="AK117" s="979"/>
      <c r="AL117" s="979"/>
      <c r="AM117" s="979"/>
      <c r="AN117" s="979"/>
      <c r="AO117" s="979"/>
      <c r="AP117" s="979"/>
      <c r="AQ117" s="979"/>
      <c r="AR117" s="979"/>
      <c r="AS117" s="979"/>
      <c r="AT117" s="979"/>
      <c r="AU117" s="979"/>
      <c r="AV117" s="979"/>
      <c r="AW117" s="979"/>
      <c r="AX117" s="979"/>
      <c r="AY117" s="979"/>
      <c r="AZ117" s="979"/>
      <c r="BA117" s="979"/>
      <c r="BB117" s="979"/>
      <c r="BC117" s="979"/>
      <c r="BD117" s="980"/>
      <c r="BE117" s="980"/>
      <c r="BF117" s="980"/>
      <c r="BG117" s="980"/>
      <c r="BH117" s="978"/>
      <c r="BI117" s="979"/>
      <c r="BJ117" s="979"/>
      <c r="BK117" s="980"/>
      <c r="BL117" s="980"/>
      <c r="BM117" s="980"/>
      <c r="BN117" s="980"/>
      <c r="BO117" s="980"/>
      <c r="BP117" s="985"/>
      <c r="CE117" s="118"/>
      <c r="CF117" s="118"/>
      <c r="CG117" s="118"/>
      <c r="CH117" s="46"/>
    </row>
    <row r="118" spans="1:86" s="44" customFormat="1" ht="32.25" customHeight="1" x14ac:dyDescent="0.25">
      <c r="A118" s="46">
        <f>Psychologia!A107</f>
        <v>84</v>
      </c>
      <c r="B118" s="127" t="str">
        <f>IF(Psychologia!B107&gt;0,Psychologia!B107," ")</f>
        <v xml:space="preserve"> </v>
      </c>
      <c r="C118" s="128" t="str">
        <f>IF(Psychologia!C107&gt;0,Psychologia!C107," ")</f>
        <v>2026/2027</v>
      </c>
      <c r="D118" s="128" t="str">
        <f>IF(Psychologia!D107&gt;0,Psychologia!D107," ")</f>
        <v xml:space="preserve"> </v>
      </c>
      <c r="E118" s="127">
        <f>IF(Psychologia!E107&gt;0,Psychologia!E107," ")</f>
        <v>5</v>
      </c>
      <c r="F118" s="32" t="str">
        <f>IF(Psychologia!F107&gt;0,Psychologia!F107," ")</f>
        <v>2030/2031</v>
      </c>
      <c r="G118" s="32" t="str">
        <f>IF(Psychologia!G107&gt;0,Psychologia!G107," ")</f>
        <v>RPS</v>
      </c>
      <c r="H118" s="122" t="str">
        <f>IF(Psychologia!H107&gt;0,Psychologia!H107," ")</f>
        <v xml:space="preserve"> </v>
      </c>
      <c r="I118" s="122" t="str">
        <f>IF(Psychologia!I107&gt;0,Psychologia!I107," ")</f>
        <v>Seksuologia</v>
      </c>
      <c r="J118" s="372">
        <f>Psychologia!Y107+Psychologia!AV107</f>
        <v>125</v>
      </c>
      <c r="K118" s="373">
        <f>Psychologia!AS107+Psychologia!BP107</f>
        <v>55</v>
      </c>
      <c r="L118" s="374">
        <f>Psychologia!Z107+Psychologia!AW107</f>
        <v>70</v>
      </c>
      <c r="M118" s="375">
        <f>Psychologia!AB107+Psychologia!AD107+Psychologia!AY107+Psychologia!BA107</f>
        <v>10</v>
      </c>
      <c r="N118" s="376">
        <f>Psychologia!AA107+Psychologia!AX107</f>
        <v>70</v>
      </c>
      <c r="O118" s="377">
        <f>Psychologia!X107+Psychologia!AU107</f>
        <v>5</v>
      </c>
      <c r="P118" s="378" t="str">
        <f>IF(Psychologia!V107&gt;0,Psychologia!V107," ")</f>
        <v>zal/o</v>
      </c>
      <c r="Q118" s="389">
        <f t="shared" si="28"/>
        <v>0</v>
      </c>
      <c r="R118" s="390">
        <f t="shared" si="29"/>
        <v>0</v>
      </c>
      <c r="S118" s="394">
        <f t="shared" si="30"/>
        <v>0</v>
      </c>
      <c r="T118" s="132"/>
      <c r="U118" s="131"/>
      <c r="V118" s="131"/>
      <c r="W118" s="131"/>
      <c r="X118" s="131"/>
      <c r="Y118" s="131"/>
      <c r="Z118" s="131"/>
      <c r="AA118" s="131"/>
      <c r="AB118" s="131"/>
      <c r="AC118" s="131"/>
      <c r="AD118" s="131"/>
      <c r="AE118" s="131"/>
      <c r="AF118" s="132"/>
      <c r="AG118" s="131"/>
      <c r="AH118" s="131"/>
      <c r="AI118" s="131"/>
      <c r="AJ118" s="131"/>
      <c r="AK118" s="131"/>
      <c r="AL118" s="131"/>
      <c r="AM118" s="131"/>
      <c r="AN118" s="131"/>
      <c r="AO118" s="131"/>
      <c r="AP118" s="131"/>
      <c r="AQ118" s="131"/>
      <c r="AR118" s="131"/>
      <c r="AS118" s="131"/>
      <c r="AT118" s="131"/>
      <c r="AU118" s="131"/>
      <c r="AV118" s="131"/>
      <c r="AW118" s="131"/>
      <c r="AX118" s="131"/>
      <c r="AY118" s="131"/>
      <c r="AZ118" s="131"/>
      <c r="BA118" s="131"/>
      <c r="BB118" s="131"/>
      <c r="BC118" s="131"/>
      <c r="BD118" s="348"/>
      <c r="BE118" s="348"/>
      <c r="BF118" s="348"/>
      <c r="BG118" s="348"/>
      <c r="BH118" s="144"/>
      <c r="BI118" s="136"/>
      <c r="BJ118" s="136"/>
      <c r="BK118" s="349"/>
      <c r="BL118" s="349"/>
      <c r="BM118" s="349"/>
      <c r="BN118" s="349"/>
      <c r="BO118" s="349"/>
      <c r="BP118" s="145"/>
      <c r="CE118" s="118"/>
      <c r="CF118" s="118"/>
      <c r="CG118" s="118"/>
      <c r="CH118" s="46"/>
    </row>
    <row r="119" spans="1:86" s="44" customFormat="1" ht="32.25" customHeight="1" x14ac:dyDescent="0.25">
      <c r="A119" s="46">
        <f>Psychologia!A108</f>
        <v>85</v>
      </c>
      <c r="B119" s="127" t="str">
        <f>IF(Psychologia!B108&gt;0,Psychologia!B108," ")</f>
        <v xml:space="preserve"> </v>
      </c>
      <c r="C119" s="128" t="str">
        <f>IF(Psychologia!C108&gt;0,Psychologia!C108," ")</f>
        <v>2026/2027</v>
      </c>
      <c r="D119" s="128" t="str">
        <f>IF(Psychologia!D108&gt;0,Psychologia!D108," ")</f>
        <v xml:space="preserve"> </v>
      </c>
      <c r="E119" s="127">
        <f>IF(Psychologia!E108&gt;0,Psychologia!E108," ")</f>
        <v>5</v>
      </c>
      <c r="F119" s="32" t="str">
        <f>IF(Psychologia!F108&gt;0,Psychologia!F108," ")</f>
        <v>2030/2031</v>
      </c>
      <c r="G119" s="32" t="str">
        <f>IF(Psychologia!G108&gt;0,Psychologia!G108," ")</f>
        <v>PSW</v>
      </c>
      <c r="H119" s="122" t="str">
        <f>IF(Psychologia!H108&gt;0,Psychologia!H108," ")</f>
        <v xml:space="preserve"> </v>
      </c>
      <c r="I119" s="122" t="str">
        <f>IF(Psychologia!I108&gt;0,Psychologia!I108," ")</f>
        <v>Seminarium magisterskie III</v>
      </c>
      <c r="J119" s="372">
        <f>Psychologia!Y108+Psychologia!AV108</f>
        <v>150</v>
      </c>
      <c r="K119" s="373">
        <f>Psychologia!AS108+Psychologia!BP108</f>
        <v>110</v>
      </c>
      <c r="L119" s="374">
        <f>Psychologia!Z108+Psychologia!AW108</f>
        <v>40</v>
      </c>
      <c r="M119" s="375">
        <f>Psychologia!AB108+Psychologia!AD108+Psychologia!AY108+Psychologia!BA108</f>
        <v>40</v>
      </c>
      <c r="N119" s="376">
        <f>Psychologia!AA108+Psychologia!AX108</f>
        <v>40</v>
      </c>
      <c r="O119" s="377">
        <f>Psychologia!X108+Psychologia!AU108</f>
        <v>6</v>
      </c>
      <c r="P119" s="378" t="str">
        <f>IF(Psychologia!V108&gt;0,Psychologia!V108," ")</f>
        <v>zal/o</v>
      </c>
      <c r="Q119" s="389">
        <f t="shared" si="28"/>
        <v>0</v>
      </c>
      <c r="R119" s="390">
        <f t="shared" ref="R119" si="31">SUM(AF119:BG119)</f>
        <v>0</v>
      </c>
      <c r="S119" s="394">
        <f t="shared" si="30"/>
        <v>0</v>
      </c>
      <c r="T119" s="132"/>
      <c r="U119" s="131"/>
      <c r="V119" s="131"/>
      <c r="W119" s="131"/>
      <c r="X119" s="131"/>
      <c r="Y119" s="131"/>
      <c r="Z119" s="131"/>
      <c r="AA119" s="131"/>
      <c r="AB119" s="131"/>
      <c r="AC119" s="131"/>
      <c r="AD119" s="131"/>
      <c r="AE119" s="131"/>
      <c r="AF119" s="132"/>
      <c r="AG119" s="131"/>
      <c r="AH119" s="131"/>
      <c r="AI119" s="131"/>
      <c r="AJ119" s="131"/>
      <c r="AK119" s="131"/>
      <c r="AL119" s="131"/>
      <c r="AM119" s="131"/>
      <c r="AN119" s="131"/>
      <c r="AO119" s="131"/>
      <c r="AP119" s="131"/>
      <c r="AQ119" s="131"/>
      <c r="AR119" s="131"/>
      <c r="AS119" s="131"/>
      <c r="AT119" s="131"/>
      <c r="AU119" s="131"/>
      <c r="AV119" s="131"/>
      <c r="AW119" s="131"/>
      <c r="AX119" s="131"/>
      <c r="AY119" s="131"/>
      <c r="AZ119" s="131"/>
      <c r="BA119" s="131"/>
      <c r="BB119" s="131"/>
      <c r="BC119" s="131"/>
      <c r="BD119" s="348"/>
      <c r="BE119" s="348"/>
      <c r="BF119" s="348"/>
      <c r="BG119" s="348"/>
      <c r="BH119" s="144"/>
      <c r="BI119" s="136"/>
      <c r="BJ119" s="136"/>
      <c r="BK119" s="349"/>
      <c r="BL119" s="349"/>
      <c r="BM119" s="349"/>
      <c r="BN119" s="349"/>
      <c r="BO119" s="349"/>
      <c r="BP119" s="145"/>
      <c r="CE119" s="118"/>
      <c r="CF119" s="118"/>
      <c r="CG119" s="118"/>
      <c r="CH119" s="46"/>
    </row>
    <row r="120" spans="1:86" s="44" customFormat="1" ht="32.25" customHeight="1" x14ac:dyDescent="0.25">
      <c r="A120" s="46">
        <f>Psychologia!A109</f>
        <v>86</v>
      </c>
      <c r="B120" s="127" t="str">
        <f>IF(Psychologia!B109&gt;0,Psychologia!B109," ")</f>
        <v xml:space="preserve"> </v>
      </c>
      <c r="C120" s="128" t="str">
        <f>IF(Psychologia!C109&gt;0,Psychologia!C109," ")</f>
        <v>2026/2027</v>
      </c>
      <c r="D120" s="128" t="str">
        <f>IF(Psychologia!D109&gt;0,Psychologia!D109," ")</f>
        <v xml:space="preserve"> </v>
      </c>
      <c r="E120" s="127">
        <f>IF(Psychologia!E109&gt;0,Psychologia!E109," ")</f>
        <v>5</v>
      </c>
      <c r="F120" s="32" t="str">
        <f>IF(Psychologia!F109&gt;0,Psychologia!F109," ")</f>
        <v>2030/2031</v>
      </c>
      <c r="G120" s="32" t="str">
        <f>IF(Psychologia!G109&gt;0,Psychologia!G109," ")</f>
        <v>PSW</v>
      </c>
      <c r="H120" s="122" t="str">
        <f>IF(Psychologia!H109&gt;0,Psychologia!H109," ")</f>
        <v xml:space="preserve"> </v>
      </c>
      <c r="I120" s="122" t="str">
        <f>IF(Psychologia!I109&gt;0,Psychologia!I109," ")</f>
        <v>Seminarium magisterskie IV</v>
      </c>
      <c r="J120" s="372">
        <f>Psychologia!Y109+Psychologia!AV109</f>
        <v>150</v>
      </c>
      <c r="K120" s="373">
        <f>Psychologia!AS109+Psychologia!BP109</f>
        <v>110</v>
      </c>
      <c r="L120" s="374">
        <f>Psychologia!Z109+Psychologia!AW109</f>
        <v>40</v>
      </c>
      <c r="M120" s="375">
        <f>Psychologia!AB109+Psychologia!AD109+Psychologia!AY109+Psychologia!BA109</f>
        <v>40</v>
      </c>
      <c r="N120" s="376">
        <f>Psychologia!AA109+Psychologia!AX109</f>
        <v>40</v>
      </c>
      <c r="O120" s="377">
        <f>Psychologia!X109+Psychologia!AU109</f>
        <v>6</v>
      </c>
      <c r="P120" s="378" t="str">
        <f>IF(Psychologia!V109&gt;0,Psychologia!V109," ")</f>
        <v>zal/o</v>
      </c>
      <c r="Q120" s="389">
        <f t="shared" si="28"/>
        <v>0</v>
      </c>
      <c r="R120" s="390">
        <f t="shared" si="29"/>
        <v>0</v>
      </c>
      <c r="S120" s="394">
        <f t="shared" si="30"/>
        <v>0</v>
      </c>
      <c r="T120" s="132"/>
      <c r="U120" s="131"/>
      <c r="V120" s="131"/>
      <c r="W120" s="131"/>
      <c r="X120" s="131"/>
      <c r="Y120" s="131"/>
      <c r="Z120" s="131"/>
      <c r="AA120" s="131"/>
      <c r="AB120" s="131"/>
      <c r="AC120" s="131"/>
      <c r="AD120" s="131"/>
      <c r="AE120" s="131"/>
      <c r="AF120" s="132"/>
      <c r="AG120" s="131"/>
      <c r="AH120" s="131"/>
      <c r="AI120" s="131"/>
      <c r="AJ120" s="131"/>
      <c r="AK120" s="131"/>
      <c r="AL120" s="131"/>
      <c r="AM120" s="131"/>
      <c r="AN120" s="131"/>
      <c r="AO120" s="131"/>
      <c r="AP120" s="131"/>
      <c r="AQ120" s="131"/>
      <c r="AR120" s="131"/>
      <c r="AS120" s="131"/>
      <c r="AT120" s="131"/>
      <c r="AU120" s="131"/>
      <c r="AV120" s="131"/>
      <c r="AW120" s="131"/>
      <c r="AX120" s="131"/>
      <c r="AY120" s="131"/>
      <c r="AZ120" s="131"/>
      <c r="BA120" s="131"/>
      <c r="BB120" s="131"/>
      <c r="BC120" s="131"/>
      <c r="BD120" s="348"/>
      <c r="BE120" s="348"/>
      <c r="BF120" s="348"/>
      <c r="BG120" s="348"/>
      <c r="BH120" s="144"/>
      <c r="BI120" s="136"/>
      <c r="BJ120" s="136"/>
      <c r="BK120" s="349"/>
      <c r="BL120" s="349"/>
      <c r="BM120" s="349"/>
      <c r="BN120" s="349"/>
      <c r="BO120" s="349"/>
      <c r="BP120" s="145"/>
      <c r="CE120" s="118"/>
      <c r="CF120" s="118"/>
      <c r="CG120" s="118"/>
      <c r="CH120" s="46"/>
    </row>
    <row r="121" spans="1:86" s="44" customFormat="1" ht="32.25" customHeight="1" x14ac:dyDescent="0.25">
      <c r="A121" s="46">
        <f>Psychologia!A121</f>
        <v>98</v>
      </c>
      <c r="B121" s="127" t="str">
        <f>IF(Psychologia!B121&gt;0,Psychologia!B121," ")</f>
        <v xml:space="preserve"> </v>
      </c>
      <c r="C121" s="128" t="str">
        <f>IF(Psychologia!C121&gt;0,Psychologia!C121," ")</f>
        <v>2026/2027</v>
      </c>
      <c r="D121" s="128" t="str">
        <f>IF(Psychologia!D121&gt;0,Psychologia!D121," ")</f>
        <v>PZ</v>
      </c>
      <c r="E121" s="127">
        <f>IF(Psychologia!E121&gt;0,Psychologia!E121," ")</f>
        <v>5</v>
      </c>
      <c r="F121" s="32" t="str">
        <f>IF(Psychologia!F121&gt;0,Psychologia!F121," ")</f>
        <v>2030/2031</v>
      </c>
      <c r="G121" s="32" t="str">
        <f>IF(Psychologia!G121&gt;0,Psychologia!G121," ")</f>
        <v>POW</v>
      </c>
      <c r="H121" s="122" t="str">
        <f>IF(Psychologia!H121&gt;0,Psychologia!H121," ")</f>
        <v xml:space="preserve"> </v>
      </c>
      <c r="I121" s="122" t="str">
        <f>IF(Psychologia!I121&gt;0,Psychologia!I121," ")</f>
        <v>Zdrowie publiczne w praktyce psychologa</v>
      </c>
      <c r="J121" s="372">
        <f>Psychologia!Y121+Psychologia!AV121</f>
        <v>150</v>
      </c>
      <c r="K121" s="373">
        <f>Psychologia!AS121+Psychologia!BP121</f>
        <v>75</v>
      </c>
      <c r="L121" s="374">
        <f>Psychologia!Z121+Psychologia!AW121</f>
        <v>75</v>
      </c>
      <c r="M121" s="375">
        <f>Psychologia!AB121+Psychologia!AD121+Psychologia!AY121+Psychologia!BA121</f>
        <v>15</v>
      </c>
      <c r="N121" s="376">
        <f>Psychologia!AA121+Psychologia!AX121</f>
        <v>75</v>
      </c>
      <c r="O121" s="377">
        <f>Psychologia!X121+Psychologia!AU121</f>
        <v>6</v>
      </c>
      <c r="P121" s="378" t="str">
        <f>IF(Psychologia!V121&gt;0,Psychologia!V121," ")</f>
        <v>egz</v>
      </c>
      <c r="Q121" s="389">
        <f t="shared" si="28"/>
        <v>0</v>
      </c>
      <c r="R121" s="390">
        <f t="shared" si="29"/>
        <v>0</v>
      </c>
      <c r="S121" s="394">
        <f t="shared" si="30"/>
        <v>0</v>
      </c>
      <c r="T121" s="132"/>
      <c r="U121" s="131"/>
      <c r="V121" s="131"/>
      <c r="W121" s="131"/>
      <c r="X121" s="131"/>
      <c r="Y121" s="131"/>
      <c r="Z121" s="131"/>
      <c r="AA121" s="131"/>
      <c r="AB121" s="131"/>
      <c r="AC121" s="131"/>
      <c r="AD121" s="131"/>
      <c r="AE121" s="131"/>
      <c r="AF121" s="132"/>
      <c r="AG121" s="131"/>
      <c r="AH121" s="131"/>
      <c r="AI121" s="131"/>
      <c r="AJ121" s="131"/>
      <c r="AK121" s="131"/>
      <c r="AL121" s="131"/>
      <c r="AM121" s="131"/>
      <c r="AN121" s="131"/>
      <c r="AO121" s="131"/>
      <c r="AP121" s="131"/>
      <c r="AQ121" s="131"/>
      <c r="AR121" s="131"/>
      <c r="AS121" s="131"/>
      <c r="AT121" s="131"/>
      <c r="AU121" s="131"/>
      <c r="AV121" s="131"/>
      <c r="AW121" s="131"/>
      <c r="AX121" s="131"/>
      <c r="AY121" s="131"/>
      <c r="AZ121" s="131"/>
      <c r="BA121" s="131"/>
      <c r="BB121" s="131"/>
      <c r="BC121" s="131"/>
      <c r="BD121" s="348"/>
      <c r="BE121" s="348"/>
      <c r="BF121" s="348"/>
      <c r="BG121" s="348"/>
      <c r="BH121" s="132"/>
      <c r="BI121" s="131"/>
      <c r="BJ121" s="131"/>
      <c r="BK121" s="348"/>
      <c r="BL121" s="348"/>
      <c r="BM121" s="348"/>
      <c r="BN121" s="348"/>
      <c r="BO121" s="348"/>
      <c r="BP121" s="133"/>
      <c r="CE121" s="118"/>
      <c r="CF121" s="118"/>
      <c r="CG121" s="118"/>
      <c r="CH121" s="46"/>
    </row>
    <row r="122" spans="1:86" s="44" customFormat="1" ht="30" customHeight="1" thickBot="1" x14ac:dyDescent="0.3">
      <c r="A122" s="398"/>
      <c r="B122" s="399" t="str">
        <f>IF(Psychologia!B122&gt;0,Psychologia!B122," ")</f>
        <v xml:space="preserve"> </v>
      </c>
      <c r="C122" s="400" t="str">
        <f>IF(Psychologia!C122&gt;0,Psychologia!C122," ")</f>
        <v xml:space="preserve"> </v>
      </c>
      <c r="D122" s="400" t="str">
        <f>IF(Psychologia!D122&gt;0,Psychologia!D122," ")</f>
        <v xml:space="preserve"> </v>
      </c>
      <c r="E122" s="399" t="str">
        <f>IF(Psychologia!E122&gt;0,Psychologia!E122," ")</f>
        <v xml:space="preserve"> </v>
      </c>
      <c r="F122" s="400" t="str">
        <f>IF(Psychologia!F122&gt;0,Psychologia!F122," ")</f>
        <v xml:space="preserve"> </v>
      </c>
      <c r="G122" s="400" t="str">
        <f>IF(Psychologia!G122&gt;0,Psychologia!G122," ")</f>
        <v xml:space="preserve"> </v>
      </c>
      <c r="H122" s="401" t="str">
        <f>IF(Psychologia!H122&gt;0,Psychologia!H122," ")</f>
        <v xml:space="preserve"> </v>
      </c>
      <c r="I122" s="402" t="str">
        <f>IF(Psychologia!I122&gt;0,Psychologia!I122," ")</f>
        <v>sumy dla 5 roku</v>
      </c>
      <c r="J122" s="395">
        <f>Psychologia!M122</f>
        <v>2325</v>
      </c>
      <c r="K122" s="396">
        <f>Psychologia!N122</f>
        <v>1315</v>
      </c>
      <c r="L122" s="396">
        <f>Psychologia!O122</f>
        <v>1010</v>
      </c>
      <c r="M122" s="396" t="e">
        <f>SUM(M105:M121)</f>
        <v>#REF!</v>
      </c>
      <c r="N122" s="396">
        <f>Psychologia!P122</f>
        <v>1010</v>
      </c>
      <c r="O122" s="396">
        <f>Psychologia!Q122</f>
        <v>93</v>
      </c>
      <c r="P122" s="396"/>
      <c r="Q122" s="397">
        <f>SUM(Q105:Q121)</f>
        <v>0</v>
      </c>
      <c r="R122" s="397">
        <f t="shared" ref="R122:AE122" si="32">SUM(R105:R121)</f>
        <v>0</v>
      </c>
      <c r="S122" s="397">
        <f t="shared" si="32"/>
        <v>0</v>
      </c>
      <c r="T122" s="397">
        <f t="shared" si="32"/>
        <v>0</v>
      </c>
      <c r="U122" s="397">
        <f t="shared" si="32"/>
        <v>0</v>
      </c>
      <c r="V122" s="397">
        <f t="shared" si="32"/>
        <v>0</v>
      </c>
      <c r="W122" s="397">
        <f t="shared" si="32"/>
        <v>0</v>
      </c>
      <c r="X122" s="397">
        <f t="shared" si="32"/>
        <v>0</v>
      </c>
      <c r="Y122" s="397">
        <f t="shared" si="32"/>
        <v>0</v>
      </c>
      <c r="Z122" s="397">
        <f t="shared" si="32"/>
        <v>0</v>
      </c>
      <c r="AA122" s="397">
        <f t="shared" si="32"/>
        <v>0</v>
      </c>
      <c r="AB122" s="397">
        <f t="shared" si="32"/>
        <v>0</v>
      </c>
      <c r="AC122" s="397">
        <f t="shared" si="32"/>
        <v>0</v>
      </c>
      <c r="AD122" s="397">
        <f t="shared" si="32"/>
        <v>0</v>
      </c>
      <c r="AE122" s="397">
        <f t="shared" si="32"/>
        <v>0</v>
      </c>
      <c r="AF122" s="397">
        <f t="shared" ref="AF122:BN122" si="33">SUM(AF105:AF121)</f>
        <v>0</v>
      </c>
      <c r="AG122" s="397">
        <f t="shared" si="33"/>
        <v>0</v>
      </c>
      <c r="AH122" s="397">
        <f t="shared" si="33"/>
        <v>0</v>
      </c>
      <c r="AI122" s="397">
        <f t="shared" si="33"/>
        <v>0</v>
      </c>
      <c r="AJ122" s="397">
        <f t="shared" si="33"/>
        <v>0</v>
      </c>
      <c r="AK122" s="397">
        <f t="shared" si="33"/>
        <v>0</v>
      </c>
      <c r="AL122" s="397">
        <f t="shared" si="33"/>
        <v>0</v>
      </c>
      <c r="AM122" s="397">
        <f t="shared" si="33"/>
        <v>0</v>
      </c>
      <c r="AN122" s="397">
        <f t="shared" si="33"/>
        <v>0</v>
      </c>
      <c r="AO122" s="397">
        <f t="shared" si="33"/>
        <v>0</v>
      </c>
      <c r="AP122" s="397">
        <f t="shared" si="33"/>
        <v>0</v>
      </c>
      <c r="AQ122" s="397">
        <f t="shared" si="33"/>
        <v>0</v>
      </c>
      <c r="AR122" s="397">
        <f t="shared" si="33"/>
        <v>0</v>
      </c>
      <c r="AS122" s="397">
        <f t="shared" si="33"/>
        <v>0</v>
      </c>
      <c r="AT122" s="397">
        <f t="shared" si="33"/>
        <v>0</v>
      </c>
      <c r="AU122" s="397">
        <f t="shared" si="33"/>
        <v>0</v>
      </c>
      <c r="AV122" s="397">
        <f t="shared" si="33"/>
        <v>0</v>
      </c>
      <c r="AW122" s="397">
        <f t="shared" si="33"/>
        <v>0</v>
      </c>
      <c r="AX122" s="397">
        <f t="shared" si="33"/>
        <v>0</v>
      </c>
      <c r="AY122" s="397">
        <f t="shared" si="33"/>
        <v>0</v>
      </c>
      <c r="AZ122" s="397">
        <f t="shared" si="33"/>
        <v>0</v>
      </c>
      <c r="BA122" s="397">
        <f t="shared" si="33"/>
        <v>0</v>
      </c>
      <c r="BB122" s="397">
        <f t="shared" si="33"/>
        <v>0</v>
      </c>
      <c r="BC122" s="397">
        <f t="shared" si="33"/>
        <v>0</v>
      </c>
      <c r="BD122" s="397">
        <f t="shared" ref="BD122:BF122" si="34">SUM(BD105:BD121)</f>
        <v>0</v>
      </c>
      <c r="BE122" s="397">
        <f t="shared" si="34"/>
        <v>0</v>
      </c>
      <c r="BF122" s="397">
        <f t="shared" si="34"/>
        <v>0</v>
      </c>
      <c r="BG122" s="614">
        <f t="shared" si="33"/>
        <v>0</v>
      </c>
      <c r="BH122" s="398">
        <f t="shared" si="33"/>
        <v>0</v>
      </c>
      <c r="BI122" s="397">
        <f t="shared" si="33"/>
        <v>0</v>
      </c>
      <c r="BJ122" s="397">
        <f t="shared" si="33"/>
        <v>0</v>
      </c>
      <c r="BK122" s="397">
        <f t="shared" si="33"/>
        <v>0</v>
      </c>
      <c r="BL122" s="397">
        <f t="shared" si="33"/>
        <v>0</v>
      </c>
      <c r="BM122" s="397">
        <f t="shared" si="33"/>
        <v>0</v>
      </c>
      <c r="BN122" s="397">
        <f t="shared" si="33"/>
        <v>0</v>
      </c>
      <c r="BO122" s="397">
        <f t="shared" ref="BO122:BP122" si="35">SUM(BO105:BO121)</f>
        <v>0</v>
      </c>
      <c r="BP122" s="620">
        <f t="shared" si="35"/>
        <v>0</v>
      </c>
      <c r="CE122" s="118"/>
      <c r="CF122" s="118"/>
      <c r="CG122" s="118"/>
      <c r="CH122" s="46"/>
    </row>
    <row r="123" spans="1:86" s="21" customFormat="1" ht="21.75" customHeight="1" thickBot="1" x14ac:dyDescent="0.3">
      <c r="A123" s="137"/>
      <c r="B123" s="138"/>
      <c r="C123" s="138"/>
      <c r="D123" s="138"/>
      <c r="E123" s="138"/>
      <c r="F123" s="138"/>
      <c r="G123" s="138"/>
      <c r="H123" s="139"/>
      <c r="I123" s="157" t="s">
        <v>21</v>
      </c>
      <c r="J123" s="143" t="e">
        <f t="shared" ref="J123:T123" si="36">SUM(J20:J41,J43:J60,J62:J79,J81:J103,J105:J121)</f>
        <v>#REF!</v>
      </c>
      <c r="K123" s="143" t="e">
        <f t="shared" si="36"/>
        <v>#REF!</v>
      </c>
      <c r="L123" s="143" t="e">
        <f t="shared" si="36"/>
        <v>#REF!</v>
      </c>
      <c r="M123" s="143" t="e">
        <f t="shared" si="36"/>
        <v>#REF!</v>
      </c>
      <c r="N123" s="143" t="e">
        <f t="shared" si="36"/>
        <v>#REF!</v>
      </c>
      <c r="O123" s="143" t="e">
        <f t="shared" si="36"/>
        <v>#REF!</v>
      </c>
      <c r="P123" s="143" t="e">
        <f t="shared" si="36"/>
        <v>#REF!</v>
      </c>
      <c r="Q123" s="143">
        <f t="shared" si="36"/>
        <v>0</v>
      </c>
      <c r="R123" s="143">
        <f t="shared" si="36"/>
        <v>0</v>
      </c>
      <c r="S123" s="143">
        <f t="shared" si="36"/>
        <v>0</v>
      </c>
      <c r="T123" s="143">
        <f t="shared" si="36"/>
        <v>0</v>
      </c>
      <c r="U123" s="143">
        <f t="shared" ref="U123:BP123" si="37">SUM(U20:U41,U43:U60,U62:U79,U81:U103,U105:U121)</f>
        <v>0</v>
      </c>
      <c r="V123" s="143">
        <f t="shared" si="37"/>
        <v>0</v>
      </c>
      <c r="W123" s="143">
        <f t="shared" si="37"/>
        <v>0</v>
      </c>
      <c r="X123" s="143">
        <f t="shared" si="37"/>
        <v>0</v>
      </c>
      <c r="Y123" s="143">
        <f t="shared" si="37"/>
        <v>0</v>
      </c>
      <c r="Z123" s="143">
        <f t="shared" si="37"/>
        <v>0</v>
      </c>
      <c r="AA123" s="143">
        <f t="shared" si="37"/>
        <v>0</v>
      </c>
      <c r="AB123" s="143">
        <f t="shared" si="37"/>
        <v>0</v>
      </c>
      <c r="AC123" s="143">
        <f t="shared" si="37"/>
        <v>0</v>
      </c>
      <c r="AD123" s="143">
        <f t="shared" si="37"/>
        <v>0</v>
      </c>
      <c r="AE123" s="143">
        <f t="shared" si="37"/>
        <v>0</v>
      </c>
      <c r="AF123" s="143">
        <f t="shared" si="37"/>
        <v>0</v>
      </c>
      <c r="AG123" s="143">
        <f t="shared" si="37"/>
        <v>0</v>
      </c>
      <c r="AH123" s="143">
        <f t="shared" si="37"/>
        <v>0</v>
      </c>
      <c r="AI123" s="143">
        <f t="shared" si="37"/>
        <v>0</v>
      </c>
      <c r="AJ123" s="143">
        <f t="shared" si="37"/>
        <v>0</v>
      </c>
      <c r="AK123" s="143">
        <f t="shared" si="37"/>
        <v>0</v>
      </c>
      <c r="AL123" s="143">
        <f t="shared" si="37"/>
        <v>0</v>
      </c>
      <c r="AM123" s="143">
        <f t="shared" si="37"/>
        <v>0</v>
      </c>
      <c r="AN123" s="143">
        <f t="shared" si="37"/>
        <v>0</v>
      </c>
      <c r="AO123" s="143">
        <f t="shared" si="37"/>
        <v>0</v>
      </c>
      <c r="AP123" s="143">
        <f t="shared" si="37"/>
        <v>0</v>
      </c>
      <c r="AQ123" s="143">
        <f t="shared" si="37"/>
        <v>0</v>
      </c>
      <c r="AR123" s="143">
        <f t="shared" si="37"/>
        <v>0</v>
      </c>
      <c r="AS123" s="143">
        <f t="shared" si="37"/>
        <v>0</v>
      </c>
      <c r="AT123" s="143">
        <f t="shared" si="37"/>
        <v>0</v>
      </c>
      <c r="AU123" s="143">
        <f t="shared" si="37"/>
        <v>0</v>
      </c>
      <c r="AV123" s="143">
        <f t="shared" si="37"/>
        <v>0</v>
      </c>
      <c r="AW123" s="143">
        <f t="shared" si="37"/>
        <v>0</v>
      </c>
      <c r="AX123" s="143">
        <f t="shared" si="37"/>
        <v>0</v>
      </c>
      <c r="AY123" s="143">
        <f t="shared" si="37"/>
        <v>0</v>
      </c>
      <c r="AZ123" s="143">
        <f t="shared" si="37"/>
        <v>0</v>
      </c>
      <c r="BA123" s="143">
        <f t="shared" si="37"/>
        <v>0</v>
      </c>
      <c r="BB123" s="143">
        <f t="shared" si="37"/>
        <v>0</v>
      </c>
      <c r="BC123" s="143">
        <f t="shared" si="37"/>
        <v>0</v>
      </c>
      <c r="BD123" s="143">
        <f t="shared" ref="BD123:BF123" si="38">SUM(BD20:BD41,BD43:BD60,BD62:BD79,BD81:BD103,BD105:BD121)</f>
        <v>0</v>
      </c>
      <c r="BE123" s="143">
        <f t="shared" si="38"/>
        <v>0</v>
      </c>
      <c r="BF123" s="143">
        <f t="shared" si="38"/>
        <v>0</v>
      </c>
      <c r="BG123" s="143">
        <f t="shared" si="37"/>
        <v>0</v>
      </c>
      <c r="BH123" s="143">
        <f t="shared" si="37"/>
        <v>0</v>
      </c>
      <c r="BI123" s="143">
        <f t="shared" si="37"/>
        <v>0</v>
      </c>
      <c r="BJ123" s="143">
        <f t="shared" si="37"/>
        <v>0</v>
      </c>
      <c r="BK123" s="143">
        <f t="shared" si="37"/>
        <v>0</v>
      </c>
      <c r="BL123" s="143">
        <f t="shared" si="37"/>
        <v>0</v>
      </c>
      <c r="BM123" s="143">
        <f t="shared" si="37"/>
        <v>0</v>
      </c>
      <c r="BN123" s="143">
        <f t="shared" si="37"/>
        <v>0</v>
      </c>
      <c r="BO123" s="143">
        <f t="shared" si="37"/>
        <v>0</v>
      </c>
      <c r="BP123" s="143">
        <f t="shared" si="37"/>
        <v>0</v>
      </c>
      <c r="CE123" s="607"/>
      <c r="CF123" s="607"/>
      <c r="CG123" s="607"/>
      <c r="CH123" s="608"/>
    </row>
    <row r="124" spans="1:86" ht="15.75" x14ac:dyDescent="0.25">
      <c r="I124" s="91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CD124" s="609" t="s">
        <v>635</v>
      </c>
      <c r="CE124" s="3">
        <f>SUM(CE20:CE123)</f>
        <v>0</v>
      </c>
      <c r="CF124" s="3">
        <f>SUM(CF20:CF123)</f>
        <v>0</v>
      </c>
      <c r="CG124" s="3">
        <f>SUM(CG20:CG123)</f>
        <v>0</v>
      </c>
      <c r="CH124" s="3">
        <f>SUM(CH20:CH123)</f>
        <v>0</v>
      </c>
    </row>
    <row r="125" spans="1:86" ht="15.75" x14ac:dyDescent="0.25">
      <c r="I125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CD125" s="610" t="s">
        <v>664</v>
      </c>
      <c r="CE125" s="3">
        <f>CE124/300</f>
        <v>0</v>
      </c>
      <c r="CF125" s="3">
        <f t="shared" ref="CF125:CH125" si="39">CF124/300</f>
        <v>0</v>
      </c>
      <c r="CG125" s="3">
        <f t="shared" si="39"/>
        <v>0</v>
      </c>
      <c r="CH125" s="3">
        <f t="shared" si="39"/>
        <v>0</v>
      </c>
    </row>
    <row r="126" spans="1:86" x14ac:dyDescent="0.25">
      <c r="I126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</row>
    <row r="127" spans="1:86" x14ac:dyDescent="0.25"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</row>
    <row r="128" spans="1:86" x14ac:dyDescent="0.25"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</row>
    <row r="129" spans="20:59" x14ac:dyDescent="0.25"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</row>
    <row r="130" spans="20:59" x14ac:dyDescent="0.25"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</row>
    <row r="131" spans="20:59" x14ac:dyDescent="0.25"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</row>
  </sheetData>
  <mergeCells count="28">
    <mergeCell ref="AF18:BG18"/>
    <mergeCell ref="BH18:BP18"/>
    <mergeCell ref="J17:N17"/>
    <mergeCell ref="G2:I2"/>
    <mergeCell ref="G16:G18"/>
    <mergeCell ref="H16:H18"/>
    <mergeCell ref="I16:I18"/>
    <mergeCell ref="L18:L19"/>
    <mergeCell ref="M18:M19"/>
    <mergeCell ref="J18:J19"/>
    <mergeCell ref="N18:N19"/>
    <mergeCell ref="T18:AE18"/>
    <mergeCell ref="CE18:CH18"/>
    <mergeCell ref="F16:F18"/>
    <mergeCell ref="A16:A18"/>
    <mergeCell ref="B16:B18"/>
    <mergeCell ref="C16:C18"/>
    <mergeCell ref="D16:D18"/>
    <mergeCell ref="E16:E18"/>
    <mergeCell ref="BQ18:CC18"/>
    <mergeCell ref="O17:O19"/>
    <mergeCell ref="P17:P19"/>
    <mergeCell ref="Q18:Q19"/>
    <mergeCell ref="R18:R19"/>
    <mergeCell ref="S18:S19"/>
    <mergeCell ref="Q16:S17"/>
    <mergeCell ref="J16:P16"/>
    <mergeCell ref="K18:K19"/>
  </mergeCells>
  <phoneticPr fontId="10" type="noConversion"/>
  <conditionalFormatting sqref="O20:O41 O43:O60">
    <cfRule type="colorScale" priority="634">
      <colorScale>
        <cfvo type="num" val="&quot;*,*&quot;"/>
        <cfvo type="max"/>
        <color rgb="FFFF7128"/>
        <color rgb="FFFFEF9C"/>
      </colorScale>
    </cfRule>
  </conditionalFormatting>
  <conditionalFormatting sqref="O20:O60">
    <cfRule type="containsText" dxfId="42" priority="72" operator="containsText" text=",">
      <formula>NOT(ISERROR(SEARCH(",",O20)))</formula>
    </cfRule>
  </conditionalFormatting>
  <conditionalFormatting sqref="O42">
    <cfRule type="colorScale" priority="73">
      <colorScale>
        <cfvo type="num" val="&quot;*,*&quot;"/>
        <cfvo type="max"/>
        <color rgb="FFFF7128"/>
        <color rgb="FFFFEF9C"/>
      </colorScale>
    </cfRule>
  </conditionalFormatting>
  <conditionalFormatting sqref="O62:O79">
    <cfRule type="containsText" dxfId="41" priority="65" operator="containsText" text=",">
      <formula>NOT(ISERROR(SEARCH(",",O62)))</formula>
    </cfRule>
    <cfRule type="colorScale" priority="66">
      <colorScale>
        <cfvo type="num" val="&quot;*,*&quot;"/>
        <cfvo type="max"/>
        <color rgb="FFFF7128"/>
        <color rgb="FFFFEF9C"/>
      </colorScale>
    </cfRule>
  </conditionalFormatting>
  <conditionalFormatting sqref="O81:O103">
    <cfRule type="containsText" dxfId="40" priority="61" operator="containsText" text=",">
      <formula>NOT(ISERROR(SEARCH(",",O81)))</formula>
    </cfRule>
    <cfRule type="colorScale" priority="62">
      <colorScale>
        <cfvo type="num" val="&quot;*,*&quot;"/>
        <cfvo type="max"/>
        <color rgb="FFFF7128"/>
        <color rgb="FFFFEF9C"/>
      </colorScale>
    </cfRule>
  </conditionalFormatting>
  <conditionalFormatting sqref="O105:O118 O120:O121">
    <cfRule type="colorScale" priority="590">
      <colorScale>
        <cfvo type="num" val="&quot;*,*&quot;"/>
        <cfvo type="max"/>
        <color rgb="FFFF7128"/>
        <color rgb="FFFFEF9C"/>
      </colorScale>
    </cfRule>
  </conditionalFormatting>
  <conditionalFormatting sqref="O105:O121">
    <cfRule type="containsText" dxfId="39" priority="4" operator="containsText" text=",">
      <formula>NOT(ISERROR(SEARCH(",",O105)))</formula>
    </cfRule>
  </conditionalFormatting>
  <conditionalFormatting sqref="O119">
    <cfRule type="colorScale" priority="5">
      <colorScale>
        <cfvo type="num" val="&quot;*,*&quot;"/>
        <cfvo type="max"/>
        <color rgb="FFFF7128"/>
        <color rgb="FFFFEF9C"/>
      </colorScale>
    </cfRule>
  </conditionalFormatting>
  <conditionalFormatting sqref="T20:AE41 T43:AE60 T62:AE79 T81:AE103 T105:AE121">
    <cfRule type="cellIs" dxfId="38" priority="116" operator="equal">
      <formula>1</formula>
    </cfRule>
  </conditionalFormatting>
  <conditionalFormatting sqref="AF20:BG41">
    <cfRule type="cellIs" dxfId="37" priority="9" operator="equal">
      <formula>1</formula>
    </cfRule>
  </conditionalFormatting>
  <conditionalFormatting sqref="AF43:BG60">
    <cfRule type="cellIs" dxfId="36" priority="12" operator="equal">
      <formula>1</formula>
    </cfRule>
  </conditionalFormatting>
  <conditionalFormatting sqref="AF62:BG79">
    <cfRule type="cellIs" dxfId="35" priority="18" operator="equal">
      <formula>1</formula>
    </cfRule>
  </conditionalFormatting>
  <conditionalFormatting sqref="AF81:BG103">
    <cfRule type="cellIs" dxfId="34" priority="6" operator="equal">
      <formula>1</formula>
    </cfRule>
  </conditionalFormatting>
  <conditionalFormatting sqref="AF105:BG121">
    <cfRule type="cellIs" dxfId="33" priority="1" operator="equal">
      <formula>1</formula>
    </cfRule>
  </conditionalFormatting>
  <conditionalFormatting sqref="BH20:BP41 BH62:BP79 BH81:BP103">
    <cfRule type="cellIs" dxfId="32" priority="113" operator="equal">
      <formula>1</formula>
    </cfRule>
  </conditionalFormatting>
  <conditionalFormatting sqref="BH43:BP60">
    <cfRule type="cellIs" dxfId="31" priority="49" operator="equal">
      <formula>1</formula>
    </cfRule>
  </conditionalFormatting>
  <conditionalFormatting sqref="BH105:BP121">
    <cfRule type="cellIs" dxfId="30" priority="25" operator="equal">
      <formula>1</formula>
    </cfRule>
  </conditionalFormatting>
  <dataValidations xWindow="1102" yWindow="610" count="3">
    <dataValidation allowBlank="1" showInputMessage="1" showErrorMessage="1" errorTitle="WARTOŚĆ NIEPRAWIDŁOWA" error="Suma ECTS musi być liczbą całkowitą" promptTitle="suma ECTS" prompt="Suma ECTS musi być liczbą całkowitą" sqref="O20:O121" xr:uid="{C7B30FAE-B4D3-491F-AF6C-C0EC9F96C997}"/>
    <dataValidation allowBlank="1" showInputMessage="1" showErrorMessage="1" errorTitle="Wartość nieprawidłowa" error="Proszę wybrać formę zakończenia przedmiotu z listy" promptTitle="Forma zakończenia przedmiotu" prompt="Proszę wybrać formę zakończenia przedmiotu z listy" sqref="P20:P121" xr:uid="{D0ABFF8B-4C40-4D2D-9CDF-BC32924D516C}"/>
    <dataValidation type="custom" allowBlank="1" showInputMessage="1" showErrorMessage="1" errorTitle="Wartość nieprawidłowa" error="Jeśli efekt jest realizowany- proszę wprowadzić cyfrę 1" promptTitle="Wybór efektu" prompt="Jeśli efekt jest realizowany- proszę wprowadzić cyfrę 1" sqref="T20:BP41 T81:BP103 T43:BP60 T62:BP79 T105:BP121" xr:uid="{E2BC18E0-1DF7-4969-A9AE-F72195D82690}">
      <formula1>1</formula1>
    </dataValidation>
  </dataValidation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2C79C-A852-4A32-8999-449ADAA2A633}">
  <sheetPr codeName="Arkusz7">
    <pageSetUpPr fitToPage="1"/>
  </sheetPr>
  <dimension ref="A2:CC63"/>
  <sheetViews>
    <sheetView zoomScale="55" zoomScaleNormal="55" workbookViewId="0">
      <pane xSplit="19" ySplit="19" topLeftCell="T20" activePane="bottomRight" state="frozen"/>
      <selection pane="topRight" activeCell="T1" sqref="T1"/>
      <selection pane="bottomLeft" activeCell="A20" sqref="A20"/>
      <selection pane="bottomRight" activeCell="P27" sqref="P27"/>
    </sheetView>
  </sheetViews>
  <sheetFormatPr defaultColWidth="8.85546875" defaultRowHeight="15" x14ac:dyDescent="0.25"/>
  <cols>
    <col min="1" max="1" width="5.42578125" customWidth="1"/>
    <col min="2" max="2" width="6.7109375" customWidth="1"/>
    <col min="3" max="3" width="12.140625" customWidth="1"/>
    <col min="4" max="4" width="6.7109375" customWidth="1"/>
    <col min="5" max="5" width="6.7109375" style="8" customWidth="1"/>
    <col min="6" max="6" width="12.42578125" customWidth="1"/>
    <col min="7" max="7" width="7.140625" customWidth="1"/>
    <col min="8" max="8" width="19.42578125" style="4" customWidth="1"/>
    <col min="9" max="9" width="33.42578125" style="4" customWidth="1"/>
    <col min="10" max="10" width="14.42578125" style="4" customWidth="1"/>
    <col min="11" max="11" width="12" customWidth="1"/>
    <col min="12" max="12" width="6.85546875" style="4" customWidth="1"/>
    <col min="13" max="13" width="5.28515625" style="4" customWidth="1"/>
    <col min="14" max="14" width="11.85546875" style="4" customWidth="1"/>
    <col min="15" max="15" width="6.7109375" style="4" customWidth="1"/>
    <col min="16" max="16" width="6.42578125" style="4" customWidth="1"/>
    <col min="17" max="19" width="5.85546875" style="4" customWidth="1"/>
    <col min="20" max="68" width="4.28515625" customWidth="1"/>
  </cols>
  <sheetData>
    <row r="2" spans="1:31" ht="21" x14ac:dyDescent="0.35">
      <c r="G2" s="1362" t="s">
        <v>128</v>
      </c>
      <c r="H2" s="1362"/>
      <c r="I2" s="1362"/>
      <c r="J2" s="149"/>
      <c r="K2" s="149"/>
    </row>
    <row r="5" spans="1:31" ht="18.75" x14ac:dyDescent="0.3">
      <c r="G5" s="29" t="s">
        <v>23</v>
      </c>
      <c r="H5" s="28"/>
      <c r="I5" s="3" t="s">
        <v>136</v>
      </c>
      <c r="J5" s="94"/>
    </row>
    <row r="6" spans="1:31" ht="18.75" x14ac:dyDescent="0.3">
      <c r="G6" s="29" t="s">
        <v>24</v>
      </c>
      <c r="H6" s="28"/>
      <c r="I6" s="3" t="s">
        <v>439</v>
      </c>
      <c r="J6" s="94"/>
    </row>
    <row r="7" spans="1:31" x14ac:dyDescent="0.25">
      <c r="G7" s="23" t="s">
        <v>27</v>
      </c>
      <c r="H7" s="24"/>
      <c r="I7" s="73" t="s">
        <v>658</v>
      </c>
    </row>
    <row r="8" spans="1:31" ht="18.75" x14ac:dyDescent="0.3">
      <c r="G8" s="23" t="s">
        <v>44</v>
      </c>
      <c r="H8" s="24"/>
      <c r="I8" s="3" t="s">
        <v>659</v>
      </c>
      <c r="J8" s="94"/>
    </row>
    <row r="9" spans="1:31" x14ac:dyDescent="0.25">
      <c r="G9" s="23" t="s">
        <v>46</v>
      </c>
      <c r="H9" s="24"/>
      <c r="I9" s="3" t="s">
        <v>137</v>
      </c>
    </row>
    <row r="10" spans="1:31" x14ac:dyDescent="0.25">
      <c r="G10" s="23" t="s">
        <v>25</v>
      </c>
      <c r="H10" s="24"/>
      <c r="I10" s="3" t="s">
        <v>138</v>
      </c>
      <c r="J10" s="9"/>
      <c r="L10" s="9"/>
      <c r="M10" s="9"/>
      <c r="N10" s="6"/>
      <c r="O10" s="9"/>
      <c r="P10" s="9"/>
    </row>
    <row r="11" spans="1:31" x14ac:dyDescent="0.25">
      <c r="G11" s="2" t="s">
        <v>47</v>
      </c>
      <c r="H11" s="24"/>
      <c r="I11" s="24">
        <v>10</v>
      </c>
    </row>
    <row r="12" spans="1:31" x14ac:dyDescent="0.25">
      <c r="G12" s="2" t="s">
        <v>48</v>
      </c>
      <c r="H12" s="24"/>
      <c r="I12" s="74">
        <v>4715</v>
      </c>
    </row>
    <row r="13" spans="1:31" x14ac:dyDescent="0.25">
      <c r="G13" s="2" t="s">
        <v>49</v>
      </c>
      <c r="H13" s="24"/>
      <c r="I13" s="24">
        <v>300</v>
      </c>
    </row>
    <row r="14" spans="1:31" x14ac:dyDescent="0.25">
      <c r="H14" s="10"/>
      <c r="I14" s="10"/>
    </row>
    <row r="15" spans="1:31" ht="15.75" thickBot="1" x14ac:dyDescent="0.3">
      <c r="J15" s="10"/>
      <c r="L15" s="10"/>
      <c r="M15" s="10"/>
      <c r="N15" s="10"/>
      <c r="O15" s="10"/>
      <c r="P15" s="10"/>
    </row>
    <row r="16" spans="1:31" ht="24" customHeight="1" x14ac:dyDescent="0.25">
      <c r="A16" s="1363" t="s">
        <v>1</v>
      </c>
      <c r="B16" s="1365" t="s">
        <v>40</v>
      </c>
      <c r="C16" s="1365" t="s">
        <v>50</v>
      </c>
      <c r="D16" s="1365" t="s">
        <v>51</v>
      </c>
      <c r="E16" s="1365" t="s">
        <v>32</v>
      </c>
      <c r="F16" s="1365" t="s">
        <v>33</v>
      </c>
      <c r="G16" s="1365" t="s">
        <v>132</v>
      </c>
      <c r="H16" s="1365" t="s">
        <v>104</v>
      </c>
      <c r="I16" s="1365" t="s">
        <v>2</v>
      </c>
      <c r="J16" s="1336" t="s">
        <v>28</v>
      </c>
      <c r="K16" s="1336"/>
      <c r="L16" s="1336"/>
      <c r="M16" s="1336"/>
      <c r="N16" s="1336"/>
      <c r="O16" s="1336"/>
      <c r="P16" s="1337"/>
      <c r="Q16" s="1338" t="s">
        <v>127</v>
      </c>
      <c r="R16" s="1339"/>
      <c r="S16" s="1340"/>
      <c r="T16" s="1023"/>
      <c r="U16" s="1023"/>
      <c r="V16" s="1023"/>
      <c r="W16" s="1023"/>
      <c r="X16" s="1023"/>
      <c r="Y16" s="1023"/>
      <c r="Z16" s="1023"/>
      <c r="AA16" s="1023"/>
      <c r="AB16" s="1023"/>
      <c r="AC16" s="1023"/>
      <c r="AD16" s="1023"/>
      <c r="AE16" s="1024"/>
    </row>
    <row r="17" spans="1:81" ht="27.75" customHeight="1" thickBot="1" x14ac:dyDescent="0.3">
      <c r="A17" s="1364"/>
      <c r="B17" s="1366"/>
      <c r="C17" s="1366"/>
      <c r="D17" s="1366"/>
      <c r="E17" s="1366"/>
      <c r="F17" s="1366"/>
      <c r="G17" s="1366"/>
      <c r="H17" s="1366"/>
      <c r="I17" s="1366"/>
      <c r="J17" s="1344" t="s">
        <v>69</v>
      </c>
      <c r="K17" s="1344"/>
      <c r="L17" s="1344"/>
      <c r="M17" s="1344"/>
      <c r="N17" s="1345"/>
      <c r="O17" s="1346" t="s">
        <v>129</v>
      </c>
      <c r="P17" s="1349" t="s">
        <v>130</v>
      </c>
      <c r="Q17" s="1341"/>
      <c r="R17" s="1342"/>
      <c r="S17" s="1343"/>
      <c r="AE17" s="1025"/>
    </row>
    <row r="18" spans="1:81" ht="78.75" customHeight="1" thickBot="1" x14ac:dyDescent="0.3">
      <c r="A18" s="1364"/>
      <c r="B18" s="1366"/>
      <c r="C18" s="1366"/>
      <c r="D18" s="1366"/>
      <c r="E18" s="1366"/>
      <c r="F18" s="1366"/>
      <c r="G18" s="1366"/>
      <c r="H18" s="1366"/>
      <c r="I18" s="1366"/>
      <c r="J18" s="1352" t="s">
        <v>71</v>
      </c>
      <c r="K18" s="1354" t="s">
        <v>68</v>
      </c>
      <c r="L18" s="1356" t="s">
        <v>72</v>
      </c>
      <c r="M18" s="1358" t="s">
        <v>131</v>
      </c>
      <c r="N18" s="1360" t="s">
        <v>70</v>
      </c>
      <c r="O18" s="1347"/>
      <c r="P18" s="1350"/>
      <c r="Q18" s="1322" t="s">
        <v>124</v>
      </c>
      <c r="R18" s="1324" t="s">
        <v>125</v>
      </c>
      <c r="S18" s="1326" t="s">
        <v>126</v>
      </c>
      <c r="T18" s="1328" t="s">
        <v>124</v>
      </c>
      <c r="U18" s="1329"/>
      <c r="V18" s="1329"/>
      <c r="W18" s="1329"/>
      <c r="X18" s="1329"/>
      <c r="Y18" s="1329"/>
      <c r="Z18" s="1329"/>
      <c r="AA18" s="1329"/>
      <c r="AB18" s="1329"/>
      <c r="AC18" s="1329"/>
      <c r="AD18" s="1329"/>
      <c r="AE18" s="1330"/>
      <c r="AF18" s="1332" t="s">
        <v>414</v>
      </c>
      <c r="AG18" s="1332"/>
      <c r="AH18" s="1332"/>
      <c r="AI18" s="1332"/>
      <c r="AJ18" s="1332"/>
      <c r="AK18" s="1332"/>
      <c r="AL18" s="1332"/>
      <c r="AM18" s="1332"/>
      <c r="AN18" s="1332"/>
      <c r="AO18" s="1332"/>
      <c r="AP18" s="1332"/>
      <c r="AQ18" s="1332"/>
      <c r="AR18" s="1332"/>
      <c r="AS18" s="1332"/>
      <c r="AT18" s="1332"/>
      <c r="AU18" s="1332"/>
      <c r="AV18" s="1332"/>
      <c r="AW18" s="1332"/>
      <c r="AX18" s="1332"/>
      <c r="AY18" s="1332"/>
      <c r="AZ18" s="1332"/>
      <c r="BA18" s="1332"/>
      <c r="BB18" s="1332"/>
      <c r="BC18" s="1332"/>
      <c r="BD18" s="1332"/>
      <c r="BE18" s="1332"/>
      <c r="BF18" s="1332"/>
      <c r="BG18" s="1332"/>
      <c r="BH18" s="1333" t="s">
        <v>126</v>
      </c>
      <c r="BI18" s="1334"/>
      <c r="BJ18" s="1334"/>
      <c r="BK18" s="1334"/>
      <c r="BL18" s="1334"/>
      <c r="BM18" s="1334"/>
      <c r="BN18" s="1334"/>
      <c r="BO18" s="1334"/>
      <c r="BP18" s="1335"/>
      <c r="BQ18" s="1320" t="s">
        <v>133</v>
      </c>
      <c r="BR18" s="1320"/>
      <c r="BS18" s="1320"/>
      <c r="BT18" s="1320"/>
      <c r="BU18" s="1320"/>
      <c r="BV18" s="1320"/>
      <c r="BW18" s="1320"/>
      <c r="BX18" s="1320"/>
      <c r="BY18" s="1320"/>
      <c r="BZ18" s="1320"/>
      <c r="CA18" s="1320"/>
      <c r="CB18" s="1320"/>
      <c r="CC18" s="1321"/>
    </row>
    <row r="19" spans="1:81" s="92" customFormat="1" ht="46.5" customHeight="1" thickBot="1" x14ac:dyDescent="0.3">
      <c r="A19" s="233"/>
      <c r="B19" s="234"/>
      <c r="C19" s="234"/>
      <c r="D19" s="234"/>
      <c r="E19" s="234"/>
      <c r="F19" s="234"/>
      <c r="G19" s="234"/>
      <c r="H19" s="235"/>
      <c r="I19" s="234"/>
      <c r="J19" s="1353"/>
      <c r="K19" s="1355"/>
      <c r="L19" s="1357"/>
      <c r="M19" s="1359"/>
      <c r="N19" s="1361"/>
      <c r="O19" s="1348"/>
      <c r="P19" s="1351"/>
      <c r="Q19" s="1323"/>
      <c r="R19" s="1325"/>
      <c r="S19" s="1327"/>
      <c r="T19" s="181" t="s">
        <v>139</v>
      </c>
      <c r="U19" s="182" t="s">
        <v>141</v>
      </c>
      <c r="V19" s="182" t="s">
        <v>143</v>
      </c>
      <c r="W19" s="182" t="s">
        <v>145</v>
      </c>
      <c r="X19" s="182" t="s">
        <v>147</v>
      </c>
      <c r="Y19" s="182" t="s">
        <v>149</v>
      </c>
      <c r="Z19" s="182" t="s">
        <v>151</v>
      </c>
      <c r="AA19" s="182" t="s">
        <v>153</v>
      </c>
      <c r="AB19" s="182" t="s">
        <v>155</v>
      </c>
      <c r="AC19" s="182" t="s">
        <v>157</v>
      </c>
      <c r="AD19" s="182" t="s">
        <v>159</v>
      </c>
      <c r="AE19" s="695" t="s">
        <v>161</v>
      </c>
      <c r="AF19" s="694" t="s">
        <v>267</v>
      </c>
      <c r="AG19" s="694" t="s">
        <v>269</v>
      </c>
      <c r="AH19" s="694" t="s">
        <v>271</v>
      </c>
      <c r="AI19" s="694" t="s">
        <v>273</v>
      </c>
      <c r="AJ19" s="694" t="s">
        <v>275</v>
      </c>
      <c r="AK19" s="694" t="s">
        <v>277</v>
      </c>
      <c r="AL19" s="694" t="s">
        <v>279</v>
      </c>
      <c r="AM19" s="694" t="s">
        <v>281</v>
      </c>
      <c r="AN19" s="694" t="s">
        <v>283</v>
      </c>
      <c r="AO19" s="694" t="s">
        <v>285</v>
      </c>
      <c r="AP19" s="694" t="s">
        <v>287</v>
      </c>
      <c r="AQ19" s="694" t="s">
        <v>289</v>
      </c>
      <c r="AR19" s="694" t="s">
        <v>291</v>
      </c>
      <c r="AS19" s="694" t="s">
        <v>293</v>
      </c>
      <c r="AT19" s="694" t="s">
        <v>295</v>
      </c>
      <c r="AU19" s="694" t="s">
        <v>297</v>
      </c>
      <c r="AV19" s="694" t="s">
        <v>299</v>
      </c>
      <c r="AW19" s="694" t="s">
        <v>301</v>
      </c>
      <c r="AX19" s="694" t="s">
        <v>303</v>
      </c>
      <c r="AY19" s="694" t="s">
        <v>305</v>
      </c>
      <c r="AZ19" s="694" t="s">
        <v>307</v>
      </c>
      <c r="BA19" s="694" t="s">
        <v>309</v>
      </c>
      <c r="BB19" s="694" t="s">
        <v>311</v>
      </c>
      <c r="BC19" s="694" t="s">
        <v>313</v>
      </c>
      <c r="BD19" s="694" t="s">
        <v>315</v>
      </c>
      <c r="BE19" s="694" t="s">
        <v>317</v>
      </c>
      <c r="BF19" s="694" t="s">
        <v>319</v>
      </c>
      <c r="BG19" s="694" t="s">
        <v>321</v>
      </c>
      <c r="BH19" s="185" t="s">
        <v>391</v>
      </c>
      <c r="BI19" s="186" t="s">
        <v>393</v>
      </c>
      <c r="BJ19" s="186" t="s">
        <v>395</v>
      </c>
      <c r="BK19" s="186" t="s">
        <v>397</v>
      </c>
      <c r="BL19" s="186" t="s">
        <v>399</v>
      </c>
      <c r="BM19" s="186" t="s">
        <v>401</v>
      </c>
      <c r="BN19" s="186" t="s">
        <v>403</v>
      </c>
      <c r="BO19" s="186" t="s">
        <v>405</v>
      </c>
      <c r="BP19" s="186" t="s">
        <v>407</v>
      </c>
      <c r="BQ19" s="152"/>
      <c r="BR19" s="152"/>
      <c r="BS19" s="152"/>
      <c r="BT19" s="152"/>
      <c r="BU19" s="152"/>
      <c r="BV19" s="152"/>
      <c r="BW19" s="152"/>
      <c r="BX19" s="152"/>
      <c r="BY19" s="152"/>
      <c r="BZ19" s="152"/>
      <c r="CA19" s="152"/>
      <c r="CB19" s="152"/>
      <c r="CC19" s="153"/>
    </row>
    <row r="20" spans="1:81" s="44" customFormat="1" ht="56.25" x14ac:dyDescent="0.25">
      <c r="A20" s="30">
        <v>12</v>
      </c>
      <c r="B20" s="127" t="s">
        <v>732</v>
      </c>
      <c r="C20" s="128" t="s">
        <v>106</v>
      </c>
      <c r="D20" s="128" t="s">
        <v>732</v>
      </c>
      <c r="E20" s="127">
        <v>1</v>
      </c>
      <c r="F20" s="32" t="s">
        <v>106</v>
      </c>
      <c r="G20" s="32" t="s">
        <v>60</v>
      </c>
      <c r="H20" s="122" t="s">
        <v>732</v>
      </c>
      <c r="I20" s="1114" t="s">
        <v>950</v>
      </c>
      <c r="J20" s="123">
        <f>Psychologia!M31</f>
        <v>50</v>
      </c>
      <c r="K20" s="124">
        <f>Psychologia!N31</f>
        <v>10</v>
      </c>
      <c r="L20" s="125">
        <f>Psychologia!O31</f>
        <v>40</v>
      </c>
      <c r="M20" s="354">
        <f>Psychologia!AB31+Psychologia!AD31+Psychologia!AY31+Psychologia!BA31</f>
        <v>0</v>
      </c>
      <c r="N20" s="220">
        <f>Psychologia!AA31+Psychologia!AX31</f>
        <v>40</v>
      </c>
      <c r="O20" s="232">
        <f>Psychologia!Q31</f>
        <v>2</v>
      </c>
      <c r="P20" s="232" t="str">
        <f>Psychologia!V31</f>
        <v>zal/o</v>
      </c>
      <c r="Q20" s="150">
        <f>SUM(T20:AE20)</f>
        <v>0</v>
      </c>
      <c r="R20" s="135">
        <f t="shared" ref="R20" si="0">SUM(AF20:BG20)</f>
        <v>3</v>
      </c>
      <c r="S20" s="161">
        <f>SUM(BH20:BP20)</f>
        <v>1</v>
      </c>
      <c r="T20" s="132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3"/>
      <c r="AF20" s="693"/>
      <c r="AG20" s="131"/>
      <c r="AH20" s="131"/>
      <c r="AI20" s="131"/>
      <c r="AJ20" s="131"/>
      <c r="AK20" s="131"/>
      <c r="AL20" s="131"/>
      <c r="AM20" s="131">
        <v>1</v>
      </c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>
        <v>1</v>
      </c>
      <c r="BB20" s="131"/>
      <c r="BC20" s="131"/>
      <c r="BD20" s="348"/>
      <c r="BE20" s="348">
        <v>1</v>
      </c>
      <c r="BF20" s="348"/>
      <c r="BG20" s="348"/>
      <c r="BH20" s="132">
        <v>1</v>
      </c>
      <c r="BI20" s="131"/>
      <c r="BJ20" s="131"/>
      <c r="BK20" s="348"/>
      <c r="BL20" s="348"/>
      <c r="BM20" s="348"/>
      <c r="BN20" s="348"/>
      <c r="BO20" s="348"/>
      <c r="BP20" s="133"/>
    </row>
    <row r="21" spans="1:81" s="44" customFormat="1" ht="47.25" x14ac:dyDescent="0.25">
      <c r="A21" s="30">
        <v>12</v>
      </c>
      <c r="B21" s="127" t="s">
        <v>732</v>
      </c>
      <c r="C21" s="128" t="s">
        <v>106</v>
      </c>
      <c r="D21" s="128" t="s">
        <v>732</v>
      </c>
      <c r="E21" s="127">
        <v>1</v>
      </c>
      <c r="F21" s="32" t="s">
        <v>106</v>
      </c>
      <c r="G21" s="32" t="s">
        <v>60</v>
      </c>
      <c r="H21" s="122" t="s">
        <v>732</v>
      </c>
      <c r="I21" s="599" t="s">
        <v>720</v>
      </c>
      <c r="J21" s="123">
        <f>Psychologia!M31</f>
        <v>50</v>
      </c>
      <c r="K21" s="124">
        <f>Psychologia!N31</f>
        <v>10</v>
      </c>
      <c r="L21" s="125">
        <f>Psychologia!O31</f>
        <v>40</v>
      </c>
      <c r="M21" s="354">
        <f>Psychologia!AB31+Psychologia!AD31+Psychologia!AY31+Psychologia!BA31</f>
        <v>0</v>
      </c>
      <c r="N21" s="220">
        <f>Psychologia!AA31+Psychologia!AX31</f>
        <v>40</v>
      </c>
      <c r="O21" s="232">
        <f>Psychologia!Q31</f>
        <v>2</v>
      </c>
      <c r="P21" s="232" t="str">
        <f>Psychologia!V31</f>
        <v>zal/o</v>
      </c>
      <c r="Q21" s="150">
        <f>SUM(T21:AE21)</f>
        <v>2</v>
      </c>
      <c r="R21" s="135">
        <f>SUM(AF21:BG21)</f>
        <v>3</v>
      </c>
      <c r="S21" s="161">
        <f>SUM(BH21:BP21)</f>
        <v>1</v>
      </c>
      <c r="T21" s="132"/>
      <c r="U21" s="131"/>
      <c r="V21" s="131">
        <v>1</v>
      </c>
      <c r="W21" s="131"/>
      <c r="X21" s="131"/>
      <c r="Y21" s="131"/>
      <c r="Z21" s="131"/>
      <c r="AA21" s="131"/>
      <c r="AB21" s="131"/>
      <c r="AC21" s="131">
        <v>1</v>
      </c>
      <c r="AD21" s="131"/>
      <c r="AE21" s="133"/>
      <c r="AF21" s="693"/>
      <c r="AG21" s="131"/>
      <c r="AH21" s="131"/>
      <c r="AI21" s="131"/>
      <c r="AJ21" s="131"/>
      <c r="AK21" s="131">
        <v>1</v>
      </c>
      <c r="AL21" s="131">
        <v>1</v>
      </c>
      <c r="AM21" s="131"/>
      <c r="AN21" s="131"/>
      <c r="AO21" s="131"/>
      <c r="AP21" s="131">
        <v>1</v>
      </c>
      <c r="AQ21" s="131"/>
      <c r="AR21" s="131"/>
      <c r="AS21" s="131"/>
      <c r="AT21" s="131"/>
      <c r="AU21" s="131"/>
      <c r="AV21" s="131"/>
      <c r="AW21" s="131"/>
      <c r="AX21" s="131"/>
      <c r="AY21" s="131"/>
      <c r="AZ21" s="131"/>
      <c r="BA21" s="131"/>
      <c r="BB21" s="131"/>
      <c r="BC21" s="131"/>
      <c r="BD21" s="348"/>
      <c r="BE21" s="348"/>
      <c r="BF21" s="348"/>
      <c r="BG21" s="348"/>
      <c r="BH21" s="132"/>
      <c r="BI21" s="131"/>
      <c r="BJ21" s="131"/>
      <c r="BK21" s="348">
        <v>1</v>
      </c>
      <c r="BL21" s="348"/>
      <c r="BM21" s="348"/>
      <c r="BN21" s="348"/>
      <c r="BO21" s="348"/>
      <c r="BP21" s="133"/>
    </row>
    <row r="22" spans="1:81" s="44" customFormat="1" ht="47.25" x14ac:dyDescent="0.25">
      <c r="A22" s="30">
        <v>13</v>
      </c>
      <c r="B22" s="127" t="s">
        <v>732</v>
      </c>
      <c r="C22" s="128" t="s">
        <v>106</v>
      </c>
      <c r="D22" s="128" t="s">
        <v>732</v>
      </c>
      <c r="E22" s="127">
        <v>1</v>
      </c>
      <c r="F22" s="32" t="s">
        <v>106</v>
      </c>
      <c r="G22" s="32" t="s">
        <v>60</v>
      </c>
      <c r="H22" s="122" t="s">
        <v>732</v>
      </c>
      <c r="I22" s="599" t="s">
        <v>721</v>
      </c>
      <c r="J22" s="123">
        <f>Psychologia!M32</f>
        <v>50</v>
      </c>
      <c r="K22" s="124">
        <f>Psychologia!N32</f>
        <v>10</v>
      </c>
      <c r="L22" s="125">
        <f>Psychologia!O32</f>
        <v>40</v>
      </c>
      <c r="M22" s="354">
        <f>Psychologia!AB32+Psychologia!AD32+Psychologia!AY32+Psychologia!BA32</f>
        <v>10</v>
      </c>
      <c r="N22" s="220">
        <f>Psychologia!AA32+Psychologia!AX32</f>
        <v>40</v>
      </c>
      <c r="O22" s="232">
        <f>Psychologia!Q32</f>
        <v>2</v>
      </c>
      <c r="P22" s="232" t="str">
        <f>Psychologia!V32</f>
        <v>zal/o</v>
      </c>
      <c r="Q22" s="150">
        <f>SUM(T22:AE22)</f>
        <v>2</v>
      </c>
      <c r="R22" s="135">
        <f>SUM(AF22:BG22)</f>
        <v>3</v>
      </c>
      <c r="S22" s="161">
        <f>SUM(BH22:BP22)</f>
        <v>2</v>
      </c>
      <c r="T22" s="132"/>
      <c r="U22" s="131"/>
      <c r="V22" s="131">
        <v>1</v>
      </c>
      <c r="W22" s="131"/>
      <c r="X22" s="131">
        <v>1</v>
      </c>
      <c r="Y22" s="131"/>
      <c r="Z22" s="131"/>
      <c r="AA22" s="131"/>
      <c r="AB22" s="131"/>
      <c r="AC22" s="131"/>
      <c r="AD22" s="131"/>
      <c r="AE22" s="133"/>
      <c r="AF22" s="693"/>
      <c r="AG22" s="131"/>
      <c r="AH22" s="131"/>
      <c r="AI22" s="131"/>
      <c r="AJ22" s="131"/>
      <c r="AK22" s="131">
        <v>1</v>
      </c>
      <c r="AL22" s="131"/>
      <c r="AM22" s="131"/>
      <c r="AN22" s="131"/>
      <c r="AO22" s="131"/>
      <c r="AP22" s="131">
        <v>1</v>
      </c>
      <c r="AQ22" s="131"/>
      <c r="AR22" s="131"/>
      <c r="AS22" s="131"/>
      <c r="AT22" s="131"/>
      <c r="AU22" s="131"/>
      <c r="AV22" s="131"/>
      <c r="AW22" s="131">
        <v>1</v>
      </c>
      <c r="AX22" s="131"/>
      <c r="AY22" s="131"/>
      <c r="AZ22" s="131"/>
      <c r="BA22" s="131"/>
      <c r="BB22" s="131"/>
      <c r="BC22" s="131"/>
      <c r="BD22" s="348"/>
      <c r="BE22" s="348"/>
      <c r="BF22" s="348"/>
      <c r="BG22" s="348"/>
      <c r="BH22" s="132"/>
      <c r="BI22" s="131"/>
      <c r="BJ22" s="131"/>
      <c r="BK22" s="348">
        <v>1</v>
      </c>
      <c r="BL22" s="348"/>
      <c r="BM22" s="348"/>
      <c r="BN22" s="348">
        <v>1</v>
      </c>
      <c r="BO22" s="348"/>
      <c r="BP22" s="133"/>
    </row>
    <row r="23" spans="1:81" s="44" customFormat="1" ht="57.75" customHeight="1" thickBot="1" x14ac:dyDescent="0.3">
      <c r="A23" s="30">
        <v>13</v>
      </c>
      <c r="B23" s="127" t="s">
        <v>732</v>
      </c>
      <c r="C23" s="128" t="s">
        <v>106</v>
      </c>
      <c r="D23" s="128" t="s">
        <v>732</v>
      </c>
      <c r="E23" s="127">
        <v>1</v>
      </c>
      <c r="F23" s="32" t="s">
        <v>106</v>
      </c>
      <c r="G23" s="32" t="s">
        <v>60</v>
      </c>
      <c r="H23" s="122" t="s">
        <v>732</v>
      </c>
      <c r="I23" s="1112" t="s">
        <v>947</v>
      </c>
      <c r="J23" s="123">
        <f>Psychologia!M32</f>
        <v>50</v>
      </c>
      <c r="K23" s="124">
        <f>Psychologia!N32</f>
        <v>10</v>
      </c>
      <c r="L23" s="125">
        <f>Psychologia!O32</f>
        <v>40</v>
      </c>
      <c r="M23" s="354">
        <f>Psychologia!AB32+Psychologia!AD32+Psychologia!AY32+Psychologia!BA32</f>
        <v>10</v>
      </c>
      <c r="N23" s="220">
        <f>Psychologia!AA32+Psychologia!AX32</f>
        <v>40</v>
      </c>
      <c r="O23" s="232">
        <f>Psychologia!Q32</f>
        <v>2</v>
      </c>
      <c r="P23" s="232" t="str">
        <f>Psychologia!V32</f>
        <v>zal/o</v>
      </c>
      <c r="Q23" s="150">
        <f>SUM(T23:AE23)</f>
        <v>2</v>
      </c>
      <c r="R23" s="135">
        <f>SUM(AF23:BG23)</f>
        <v>4</v>
      </c>
      <c r="S23" s="161">
        <f>SUM(BH23:BP23)</f>
        <v>3</v>
      </c>
      <c r="T23" s="132"/>
      <c r="U23" s="131"/>
      <c r="V23" s="131"/>
      <c r="W23" s="131"/>
      <c r="X23" s="131"/>
      <c r="Y23" s="131"/>
      <c r="Z23" s="131"/>
      <c r="AA23" s="131"/>
      <c r="AB23" s="131"/>
      <c r="AC23" s="131"/>
      <c r="AD23" s="131">
        <v>1</v>
      </c>
      <c r="AE23" s="133">
        <v>1</v>
      </c>
      <c r="AF23" s="693"/>
      <c r="AG23" s="131"/>
      <c r="AH23" s="131"/>
      <c r="AI23" s="131"/>
      <c r="AJ23" s="131"/>
      <c r="AK23" s="131">
        <v>1</v>
      </c>
      <c r="AL23" s="131"/>
      <c r="AM23" s="131"/>
      <c r="AN23" s="131"/>
      <c r="AO23" s="131"/>
      <c r="AP23" s="131">
        <v>1</v>
      </c>
      <c r="AQ23" s="131"/>
      <c r="AR23" s="131">
        <v>1</v>
      </c>
      <c r="AS23" s="131">
        <v>1</v>
      </c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348"/>
      <c r="BE23" s="348"/>
      <c r="BF23" s="348"/>
      <c r="BG23" s="348"/>
      <c r="BH23" s="132"/>
      <c r="BI23" s="131"/>
      <c r="BJ23" s="131"/>
      <c r="BK23" s="348"/>
      <c r="BL23" s="348"/>
      <c r="BM23" s="348">
        <v>1</v>
      </c>
      <c r="BN23" s="348">
        <v>1</v>
      </c>
      <c r="BO23" s="348"/>
      <c r="BP23" s="133">
        <v>1</v>
      </c>
    </row>
    <row r="24" spans="1:81" s="44" customFormat="1" ht="30" customHeight="1" thickBot="1" x14ac:dyDescent="0.3">
      <c r="A24" s="219"/>
      <c r="B24" s="146" t="str">
        <f>IF(Psychologia!B42&gt;0,Psychologia!B42," ")</f>
        <v xml:space="preserve"> </v>
      </c>
      <c r="C24" s="147" t="str">
        <f>IF(Psychologia!C42&gt;0,Psychologia!C42," ")</f>
        <v xml:space="preserve"> </v>
      </c>
      <c r="D24" s="147" t="str">
        <f>IF(Psychologia!D42&gt;0,Psychologia!D42," ")</f>
        <v xml:space="preserve"> </v>
      </c>
      <c r="E24" s="147" t="str">
        <f>IF(Psychologia!E42&gt;0,Psychologia!E42," ")</f>
        <v xml:space="preserve"> </v>
      </c>
      <c r="F24" s="147" t="str">
        <f>IF(Psychologia!F42&gt;0,Psychologia!F42," ")</f>
        <v xml:space="preserve"> </v>
      </c>
      <c r="G24" s="147" t="str">
        <f>IF(Psychologia!G42&gt;0,Psychologia!G42," ")</f>
        <v xml:space="preserve"> </v>
      </c>
      <c r="H24" s="147" t="str">
        <f>IF(Psychologia!H42&gt;0,Psychologia!H42," ")</f>
        <v xml:space="preserve"> </v>
      </c>
      <c r="I24" s="147" t="str">
        <f>IF(Psychologia!I42&gt;0,Psychologia!I42," ")</f>
        <v>sumy dla 1 roku</v>
      </c>
      <c r="J24" s="147">
        <f>SUM(J20:J23)</f>
        <v>200</v>
      </c>
      <c r="K24" s="147">
        <f t="shared" ref="K24:O24" si="1">SUM(K20:K23)</f>
        <v>40</v>
      </c>
      <c r="L24" s="147">
        <f t="shared" si="1"/>
        <v>160</v>
      </c>
      <c r="M24" s="147">
        <f t="shared" si="1"/>
        <v>20</v>
      </c>
      <c r="N24" s="147">
        <f t="shared" si="1"/>
        <v>160</v>
      </c>
      <c r="O24" s="147">
        <f t="shared" si="1"/>
        <v>8</v>
      </c>
      <c r="P24" s="147"/>
      <c r="Q24" s="151">
        <f>SUM(Q20:Q23)</f>
        <v>6</v>
      </c>
      <c r="R24" s="151">
        <f>SUM(R20:R23)</f>
        <v>13</v>
      </c>
      <c r="S24" s="151">
        <f>SUM(S20:S23)</f>
        <v>7</v>
      </c>
      <c r="T24" s="151">
        <f>SUM(T20:T23)</f>
        <v>0</v>
      </c>
      <c r="U24" s="151">
        <f t="shared" ref="U24:BP24" si="2">SUM(U20:U23)</f>
        <v>0</v>
      </c>
      <c r="V24" s="151">
        <f t="shared" si="2"/>
        <v>2</v>
      </c>
      <c r="W24" s="151">
        <f t="shared" si="2"/>
        <v>0</v>
      </c>
      <c r="X24" s="151">
        <f t="shared" si="2"/>
        <v>1</v>
      </c>
      <c r="Y24" s="151">
        <f t="shared" si="2"/>
        <v>0</v>
      </c>
      <c r="Z24" s="151">
        <f t="shared" si="2"/>
        <v>0</v>
      </c>
      <c r="AA24" s="151">
        <f t="shared" si="2"/>
        <v>0</v>
      </c>
      <c r="AB24" s="151">
        <f t="shared" si="2"/>
        <v>0</v>
      </c>
      <c r="AC24" s="151">
        <f t="shared" si="2"/>
        <v>1</v>
      </c>
      <c r="AD24" s="151">
        <f t="shared" si="2"/>
        <v>1</v>
      </c>
      <c r="AE24" s="1026">
        <f t="shared" si="2"/>
        <v>1</v>
      </c>
      <c r="AF24" s="151">
        <f t="shared" si="2"/>
        <v>0</v>
      </c>
      <c r="AG24" s="151">
        <f t="shared" si="2"/>
        <v>0</v>
      </c>
      <c r="AH24" s="151">
        <f t="shared" si="2"/>
        <v>0</v>
      </c>
      <c r="AI24" s="151">
        <f t="shared" si="2"/>
        <v>0</v>
      </c>
      <c r="AJ24" s="151">
        <f t="shared" si="2"/>
        <v>0</v>
      </c>
      <c r="AK24" s="151">
        <f t="shared" si="2"/>
        <v>3</v>
      </c>
      <c r="AL24" s="151">
        <f t="shared" si="2"/>
        <v>1</v>
      </c>
      <c r="AM24" s="151">
        <f t="shared" si="2"/>
        <v>1</v>
      </c>
      <c r="AN24" s="151">
        <f t="shared" si="2"/>
        <v>0</v>
      </c>
      <c r="AO24" s="151">
        <f t="shared" si="2"/>
        <v>0</v>
      </c>
      <c r="AP24" s="151">
        <f t="shared" si="2"/>
        <v>3</v>
      </c>
      <c r="AQ24" s="151">
        <f t="shared" si="2"/>
        <v>0</v>
      </c>
      <c r="AR24" s="151">
        <f t="shared" si="2"/>
        <v>1</v>
      </c>
      <c r="AS24" s="151">
        <f t="shared" si="2"/>
        <v>1</v>
      </c>
      <c r="AT24" s="151">
        <f t="shared" si="2"/>
        <v>0</v>
      </c>
      <c r="AU24" s="151">
        <f t="shared" si="2"/>
        <v>0</v>
      </c>
      <c r="AV24" s="151">
        <f t="shared" si="2"/>
        <v>0</v>
      </c>
      <c r="AW24" s="151">
        <f t="shared" si="2"/>
        <v>1</v>
      </c>
      <c r="AX24" s="151">
        <f t="shared" si="2"/>
        <v>0</v>
      </c>
      <c r="AY24" s="151">
        <f t="shared" si="2"/>
        <v>0</v>
      </c>
      <c r="AZ24" s="151">
        <f t="shared" si="2"/>
        <v>0</v>
      </c>
      <c r="BA24" s="151">
        <f t="shared" si="2"/>
        <v>1</v>
      </c>
      <c r="BB24" s="151">
        <f t="shared" si="2"/>
        <v>0</v>
      </c>
      <c r="BC24" s="151">
        <f t="shared" si="2"/>
        <v>0</v>
      </c>
      <c r="BD24" s="151">
        <f t="shared" si="2"/>
        <v>0</v>
      </c>
      <c r="BE24" s="151">
        <f t="shared" si="2"/>
        <v>1</v>
      </c>
      <c r="BF24" s="151">
        <f t="shared" si="2"/>
        <v>0</v>
      </c>
      <c r="BG24" s="151">
        <f t="shared" si="2"/>
        <v>0</v>
      </c>
      <c r="BH24" s="151">
        <f t="shared" si="2"/>
        <v>1</v>
      </c>
      <c r="BI24" s="151">
        <f t="shared" si="2"/>
        <v>0</v>
      </c>
      <c r="BJ24" s="151">
        <f t="shared" si="2"/>
        <v>0</v>
      </c>
      <c r="BK24" s="151">
        <f t="shared" si="2"/>
        <v>2</v>
      </c>
      <c r="BL24" s="151">
        <f t="shared" si="2"/>
        <v>0</v>
      </c>
      <c r="BM24" s="151">
        <f t="shared" si="2"/>
        <v>1</v>
      </c>
      <c r="BN24" s="151">
        <f t="shared" si="2"/>
        <v>2</v>
      </c>
      <c r="BO24" s="151">
        <f t="shared" si="2"/>
        <v>0</v>
      </c>
      <c r="BP24" s="151">
        <f t="shared" si="2"/>
        <v>1</v>
      </c>
      <c r="BR24" s="179"/>
      <c r="BS24" s="179"/>
      <c r="BT24" s="179"/>
      <c r="BU24" s="179"/>
      <c r="BV24" s="180"/>
    </row>
    <row r="25" spans="1:81" s="44" customFormat="1" ht="31.5" x14ac:dyDescent="0.25">
      <c r="A25" s="30">
        <v>32</v>
      </c>
      <c r="B25" s="127" t="s">
        <v>732</v>
      </c>
      <c r="C25" s="128" t="s">
        <v>106</v>
      </c>
      <c r="D25" s="128" t="s">
        <v>732</v>
      </c>
      <c r="E25" s="127">
        <v>2</v>
      </c>
      <c r="F25" s="32" t="s">
        <v>107</v>
      </c>
      <c r="G25" s="32" t="s">
        <v>60</v>
      </c>
      <c r="H25" s="122" t="s">
        <v>732</v>
      </c>
      <c r="I25" s="1105" t="s">
        <v>724</v>
      </c>
      <c r="J25" s="123">
        <f>Psychologia!M51</f>
        <v>50</v>
      </c>
      <c r="K25" s="850">
        <f>Psychologia!N51</f>
        <v>10</v>
      </c>
      <c r="L25" s="125">
        <f>Psychologia!O51</f>
        <v>40</v>
      </c>
      <c r="M25" s="354">
        <f>Psychologia!AB51+Psychologia!AD51+Psychologia!AY51+Psychologia!BA51</f>
        <v>0</v>
      </c>
      <c r="N25" s="220">
        <f>Psychologia!AA51+Psychologia!AX51</f>
        <v>40</v>
      </c>
      <c r="O25" s="851">
        <f>Psychologia!Q51</f>
        <v>2</v>
      </c>
      <c r="P25" s="128" t="str">
        <f>Psychologia!V51</f>
        <v>zal/o</v>
      </c>
      <c r="Q25" s="150">
        <f>SUM(T25:AE25)</f>
        <v>0</v>
      </c>
      <c r="R25" s="135">
        <f t="shared" ref="R25:R26" si="3">SUM(AF25:BG25)</f>
        <v>5</v>
      </c>
      <c r="S25" s="161">
        <f>SUM(BH25:BP25)</f>
        <v>1</v>
      </c>
      <c r="T25" s="132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3"/>
      <c r="AF25" s="693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>
        <v>1</v>
      </c>
      <c r="AS25" s="131"/>
      <c r="AT25" s="131">
        <v>1</v>
      </c>
      <c r="AU25" s="131"/>
      <c r="AV25" s="131">
        <v>1</v>
      </c>
      <c r="AW25" s="131"/>
      <c r="AX25" s="131"/>
      <c r="AY25" s="131">
        <v>1</v>
      </c>
      <c r="AZ25" s="131"/>
      <c r="BA25" s="131"/>
      <c r="BB25" s="131"/>
      <c r="BC25" s="131"/>
      <c r="BD25" s="348">
        <v>1</v>
      </c>
      <c r="BE25" s="348"/>
      <c r="BF25" s="348"/>
      <c r="BG25" s="348"/>
      <c r="BH25" s="132"/>
      <c r="BI25" s="131"/>
      <c r="BJ25" s="131"/>
      <c r="BK25" s="348"/>
      <c r="BL25" s="348"/>
      <c r="BM25" s="348"/>
      <c r="BN25" s="348"/>
      <c r="BO25" s="348">
        <v>1</v>
      </c>
      <c r="BP25" s="133"/>
    </row>
    <row r="26" spans="1:81" s="44" customFormat="1" ht="31.5" x14ac:dyDescent="0.25">
      <c r="A26" s="45">
        <v>32</v>
      </c>
      <c r="B26" s="1028" t="s">
        <v>732</v>
      </c>
      <c r="C26" s="378" t="s">
        <v>106</v>
      </c>
      <c r="D26" s="378" t="s">
        <v>732</v>
      </c>
      <c r="E26" s="1028">
        <v>2</v>
      </c>
      <c r="F26" s="378" t="s">
        <v>107</v>
      </c>
      <c r="G26" s="378" t="s">
        <v>60</v>
      </c>
      <c r="H26" s="378" t="s">
        <v>732</v>
      </c>
      <c r="I26" s="439" t="s">
        <v>725</v>
      </c>
      <c r="J26" s="372">
        <f>Psychologia!M51</f>
        <v>50</v>
      </c>
      <c r="K26" s="855">
        <f>Psychologia!N51</f>
        <v>10</v>
      </c>
      <c r="L26" s="374">
        <f>Psychologia!O51</f>
        <v>40</v>
      </c>
      <c r="M26" s="856">
        <f>Psychologia!AB51+Psychologia!AD51+Psychologia!AY51+Psychologia!BA51</f>
        <v>0</v>
      </c>
      <c r="N26" s="376">
        <f>Psychologia!AA51+Psychologia!AX51</f>
        <v>40</v>
      </c>
      <c r="O26" s="857">
        <f>Psychologia!Q51</f>
        <v>2</v>
      </c>
      <c r="P26" s="378" t="str">
        <f>Psychologia!V51</f>
        <v>zal/o</v>
      </c>
      <c r="Q26" s="1029">
        <f>SUM(T26:AE26)</f>
        <v>0</v>
      </c>
      <c r="R26" s="390">
        <f t="shared" si="3"/>
        <v>3</v>
      </c>
      <c r="S26" s="394">
        <f>SUM(BH26:BP26)</f>
        <v>1</v>
      </c>
      <c r="T26" s="132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45"/>
      <c r="AF26" s="1022"/>
      <c r="AG26" s="136"/>
      <c r="AH26" s="136"/>
      <c r="AI26" s="136"/>
      <c r="AJ26" s="136"/>
      <c r="AK26" s="136"/>
      <c r="AL26" s="136">
        <v>1</v>
      </c>
      <c r="AM26" s="136"/>
      <c r="AN26" s="136">
        <v>1</v>
      </c>
      <c r="AO26" s="136"/>
      <c r="AP26" s="136">
        <v>1</v>
      </c>
      <c r="AQ26" s="136"/>
      <c r="AR26" s="136"/>
      <c r="AS26" s="136"/>
      <c r="AT26" s="136"/>
      <c r="AU26" s="136"/>
      <c r="AV26" s="136"/>
      <c r="AW26" s="136"/>
      <c r="AX26" s="136"/>
      <c r="AY26" s="136"/>
      <c r="AZ26" s="136"/>
      <c r="BA26" s="136"/>
      <c r="BB26" s="136"/>
      <c r="BC26" s="136"/>
      <c r="BD26" s="349"/>
      <c r="BE26" s="349"/>
      <c r="BF26" s="349"/>
      <c r="BG26" s="349"/>
      <c r="BH26" s="144"/>
      <c r="BI26" s="136"/>
      <c r="BJ26" s="136"/>
      <c r="BK26" s="349"/>
      <c r="BL26" s="349"/>
      <c r="BM26" s="349"/>
      <c r="BN26" s="349">
        <v>1</v>
      </c>
      <c r="BO26" s="349"/>
      <c r="BP26" s="145"/>
    </row>
    <row r="27" spans="1:81" s="44" customFormat="1" ht="47.25" x14ac:dyDescent="0.25">
      <c r="A27" s="30">
        <v>31</v>
      </c>
      <c r="B27" s="127" t="s">
        <v>732</v>
      </c>
      <c r="C27" s="128" t="s">
        <v>106</v>
      </c>
      <c r="D27" s="128" t="s">
        <v>732</v>
      </c>
      <c r="E27" s="127">
        <v>2</v>
      </c>
      <c r="F27" s="32" t="s">
        <v>107</v>
      </c>
      <c r="G27" s="32" t="s">
        <v>60</v>
      </c>
      <c r="H27" s="122" t="s">
        <v>732</v>
      </c>
      <c r="I27" s="599" t="s">
        <v>722</v>
      </c>
      <c r="J27" s="372">
        <f>Psychologia!M52</f>
        <v>50</v>
      </c>
      <c r="K27" s="855">
        <f>Psychologia!N52</f>
        <v>10</v>
      </c>
      <c r="L27" s="374">
        <f>Psychologia!O52</f>
        <v>40</v>
      </c>
      <c r="M27" s="856">
        <f>Psychologia!AB52+Psychologia!AD52+Psychologia!AY52+Psychologia!BA52</f>
        <v>15</v>
      </c>
      <c r="N27" s="376">
        <f>Psychologia!AA52+Psychologia!AX52</f>
        <v>40</v>
      </c>
      <c r="O27" s="857">
        <f>Psychologia!Q52</f>
        <v>2</v>
      </c>
      <c r="P27" s="378" t="str">
        <f>Psychologia!V52</f>
        <v>zal/o</v>
      </c>
      <c r="Q27" s="150">
        <f>SUM(T27:AE27)</f>
        <v>2</v>
      </c>
      <c r="R27" s="135">
        <f t="shared" ref="R27" si="4">SUM(AF27:BG27)</f>
        <v>5</v>
      </c>
      <c r="S27" s="161">
        <f>SUM(BH27:BP27)</f>
        <v>3</v>
      </c>
      <c r="T27" s="130"/>
      <c r="U27" s="131"/>
      <c r="V27" s="131"/>
      <c r="W27" s="131"/>
      <c r="X27" s="131"/>
      <c r="Y27" s="131"/>
      <c r="Z27" s="131"/>
      <c r="AA27" s="131"/>
      <c r="AB27" s="131"/>
      <c r="AC27" s="131"/>
      <c r="AD27" s="131">
        <v>1</v>
      </c>
      <c r="AE27" s="133">
        <v>1</v>
      </c>
      <c r="AF27" s="693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>
        <v>1</v>
      </c>
      <c r="AS27" s="131">
        <v>1</v>
      </c>
      <c r="AT27" s="131"/>
      <c r="AU27" s="131">
        <v>1</v>
      </c>
      <c r="AV27" s="131"/>
      <c r="AW27" s="131"/>
      <c r="AX27" s="131"/>
      <c r="AY27" s="131">
        <v>1</v>
      </c>
      <c r="AZ27" s="131"/>
      <c r="BA27" s="131"/>
      <c r="BB27" s="131"/>
      <c r="BC27" s="131"/>
      <c r="BD27" s="348">
        <v>1</v>
      </c>
      <c r="BE27" s="348"/>
      <c r="BF27" s="348"/>
      <c r="BG27" s="348"/>
      <c r="BH27" s="132"/>
      <c r="BI27" s="131"/>
      <c r="BJ27" s="131"/>
      <c r="BK27" s="348">
        <v>1</v>
      </c>
      <c r="BL27" s="348"/>
      <c r="BM27" s="348">
        <v>1</v>
      </c>
      <c r="BN27" s="348"/>
      <c r="BO27" s="348"/>
      <c r="BP27" s="133">
        <v>1</v>
      </c>
    </row>
    <row r="28" spans="1:81" s="44" customFormat="1" ht="32.25" thickBot="1" x14ac:dyDescent="0.3">
      <c r="A28" s="30">
        <v>31</v>
      </c>
      <c r="B28" s="127" t="s">
        <v>732</v>
      </c>
      <c r="C28" s="128" t="s">
        <v>106</v>
      </c>
      <c r="D28" s="128" t="s">
        <v>732</v>
      </c>
      <c r="E28" s="127">
        <v>2</v>
      </c>
      <c r="F28" s="32" t="s">
        <v>107</v>
      </c>
      <c r="G28" s="32" t="s">
        <v>60</v>
      </c>
      <c r="H28" s="122" t="s">
        <v>732</v>
      </c>
      <c r="I28" s="599" t="s">
        <v>723</v>
      </c>
      <c r="J28" s="372">
        <f>Psychologia!M52</f>
        <v>50</v>
      </c>
      <c r="K28" s="855">
        <f>Psychologia!N52</f>
        <v>10</v>
      </c>
      <c r="L28" s="374">
        <f>Psychologia!O52</f>
        <v>40</v>
      </c>
      <c r="M28" s="856">
        <f>Psychologia!AB52+Psychologia!AD52+Psychologia!AY52+Psychologia!BA52</f>
        <v>15</v>
      </c>
      <c r="N28" s="376">
        <f>Psychologia!AA52+Psychologia!AX52</f>
        <v>40</v>
      </c>
      <c r="O28" s="857">
        <f>Psychologia!Q52</f>
        <v>2</v>
      </c>
      <c r="P28" s="378" t="str">
        <f>Psychologia!V52</f>
        <v>zal/o</v>
      </c>
      <c r="Q28" s="150">
        <f>SUM(T28:AE28)</f>
        <v>2</v>
      </c>
      <c r="R28" s="135">
        <f t="shared" ref="R28" si="5">SUM(AF28:BG28)</f>
        <v>3</v>
      </c>
      <c r="S28" s="161">
        <f>SUM(BH28:BP28)</f>
        <v>1</v>
      </c>
      <c r="T28" s="132">
        <v>1</v>
      </c>
      <c r="U28" s="131"/>
      <c r="V28" s="131"/>
      <c r="W28" s="131"/>
      <c r="X28" s="131">
        <v>1</v>
      </c>
      <c r="Y28" s="131"/>
      <c r="Z28" s="131"/>
      <c r="AA28" s="131"/>
      <c r="AB28" s="131"/>
      <c r="AC28" s="131"/>
      <c r="AD28" s="131"/>
      <c r="AE28" s="133"/>
      <c r="AF28" s="693">
        <v>1</v>
      </c>
      <c r="AG28" s="131"/>
      <c r="AH28" s="131"/>
      <c r="AI28" s="131"/>
      <c r="AJ28" s="131"/>
      <c r="AK28" s="131"/>
      <c r="AL28" s="131"/>
      <c r="AM28" s="131"/>
      <c r="AN28" s="131">
        <v>1</v>
      </c>
      <c r="AO28" s="131"/>
      <c r="AP28" s="131"/>
      <c r="AQ28" s="131"/>
      <c r="AR28" s="131"/>
      <c r="AS28" s="131"/>
      <c r="AT28" s="131"/>
      <c r="AU28" s="131"/>
      <c r="AV28" s="131"/>
      <c r="AW28" s="131"/>
      <c r="AX28" s="131"/>
      <c r="AY28" s="131"/>
      <c r="AZ28" s="131">
        <v>1</v>
      </c>
      <c r="BA28" s="131"/>
      <c r="BB28" s="131"/>
      <c r="BC28" s="131"/>
      <c r="BD28" s="348"/>
      <c r="BE28" s="348"/>
      <c r="BF28" s="348"/>
      <c r="BG28" s="348"/>
      <c r="BH28" s="132">
        <v>1</v>
      </c>
      <c r="BI28" s="131"/>
      <c r="BJ28" s="131"/>
      <c r="BK28" s="348"/>
      <c r="BL28" s="348"/>
      <c r="BM28" s="348"/>
      <c r="BN28" s="348"/>
      <c r="BO28" s="348"/>
      <c r="BP28" s="133"/>
    </row>
    <row r="29" spans="1:81" s="44" customFormat="1" ht="30" customHeight="1" thickBot="1" x14ac:dyDescent="0.3">
      <c r="A29" s="302"/>
      <c r="B29" s="303"/>
      <c r="C29" s="304"/>
      <c r="D29" s="304"/>
      <c r="E29" s="303"/>
      <c r="F29" s="304"/>
      <c r="G29" s="304"/>
      <c r="H29" s="305"/>
      <c r="I29" s="301" t="str">
        <f>Psychologia!I61</f>
        <v>sumy dla 2 roku</v>
      </c>
      <c r="J29" s="711">
        <f>SUM(J27:J28)</f>
        <v>100</v>
      </c>
      <c r="K29" s="711">
        <f>SUM(K27:K28)</f>
        <v>20</v>
      </c>
      <c r="L29" s="711">
        <f>SUM(L27:L28)</f>
        <v>80</v>
      </c>
      <c r="M29" s="711">
        <f>SUM(M27:M28)</f>
        <v>30</v>
      </c>
      <c r="N29" s="711">
        <f>SUM(N27:N28)</f>
        <v>80</v>
      </c>
      <c r="O29" s="713">
        <f>Psychologia!X53+Psychologia!AU53</f>
        <v>3</v>
      </c>
      <c r="P29" s="713" t="str">
        <f>IF(Psychologia!V54&gt;0,Psychologia!V54," ")</f>
        <v>egz</v>
      </c>
      <c r="Q29" s="713">
        <f t="shared" ref="Q29:S29" si="6">SUM(Q27:Q28)</f>
        <v>4</v>
      </c>
      <c r="R29" s="713">
        <f t="shared" si="6"/>
        <v>8</v>
      </c>
      <c r="S29" s="713">
        <f t="shared" si="6"/>
        <v>4</v>
      </c>
      <c r="T29" s="713">
        <f>SUM(T25:T28)</f>
        <v>1</v>
      </c>
      <c r="U29" s="713">
        <f t="shared" ref="U29:BP29" si="7">SUM(U25:U28)</f>
        <v>0</v>
      </c>
      <c r="V29" s="713">
        <f t="shared" si="7"/>
        <v>0</v>
      </c>
      <c r="W29" s="713">
        <f t="shared" si="7"/>
        <v>0</v>
      </c>
      <c r="X29" s="713">
        <f t="shared" si="7"/>
        <v>1</v>
      </c>
      <c r="Y29" s="713">
        <f t="shared" si="7"/>
        <v>0</v>
      </c>
      <c r="Z29" s="713">
        <f t="shared" si="7"/>
        <v>0</v>
      </c>
      <c r="AA29" s="713">
        <f t="shared" si="7"/>
        <v>0</v>
      </c>
      <c r="AB29" s="713">
        <f t="shared" si="7"/>
        <v>0</v>
      </c>
      <c r="AC29" s="713">
        <f t="shared" si="7"/>
        <v>0</v>
      </c>
      <c r="AD29" s="713">
        <f t="shared" si="7"/>
        <v>1</v>
      </c>
      <c r="AE29" s="713">
        <f t="shared" si="7"/>
        <v>1</v>
      </c>
      <c r="AF29" s="713">
        <f t="shared" si="7"/>
        <v>1</v>
      </c>
      <c r="AG29" s="713">
        <f t="shared" si="7"/>
        <v>0</v>
      </c>
      <c r="AH29" s="713">
        <f t="shared" si="7"/>
        <v>0</v>
      </c>
      <c r="AI29" s="713">
        <f t="shared" si="7"/>
        <v>0</v>
      </c>
      <c r="AJ29" s="713">
        <f t="shared" si="7"/>
        <v>0</v>
      </c>
      <c r="AK29" s="713">
        <f t="shared" si="7"/>
        <v>0</v>
      </c>
      <c r="AL29" s="713">
        <f t="shared" si="7"/>
        <v>1</v>
      </c>
      <c r="AM29" s="713">
        <f t="shared" si="7"/>
        <v>0</v>
      </c>
      <c r="AN29" s="713">
        <f t="shared" si="7"/>
        <v>2</v>
      </c>
      <c r="AO29" s="713">
        <f t="shared" si="7"/>
        <v>0</v>
      </c>
      <c r="AP29" s="713">
        <f t="shared" si="7"/>
        <v>1</v>
      </c>
      <c r="AQ29" s="713">
        <f t="shared" si="7"/>
        <v>0</v>
      </c>
      <c r="AR29" s="713">
        <f t="shared" si="7"/>
        <v>2</v>
      </c>
      <c r="AS29" s="713">
        <f t="shared" si="7"/>
        <v>1</v>
      </c>
      <c r="AT29" s="713">
        <f t="shared" si="7"/>
        <v>1</v>
      </c>
      <c r="AU29" s="713">
        <f t="shared" si="7"/>
        <v>1</v>
      </c>
      <c r="AV29" s="713">
        <f t="shared" si="7"/>
        <v>1</v>
      </c>
      <c r="AW29" s="713">
        <f t="shared" si="7"/>
        <v>0</v>
      </c>
      <c r="AX29" s="713">
        <f t="shared" si="7"/>
        <v>0</v>
      </c>
      <c r="AY29" s="713">
        <f t="shared" si="7"/>
        <v>2</v>
      </c>
      <c r="AZ29" s="713">
        <f t="shared" si="7"/>
        <v>1</v>
      </c>
      <c r="BA29" s="713">
        <f t="shared" si="7"/>
        <v>0</v>
      </c>
      <c r="BB29" s="713">
        <f t="shared" si="7"/>
        <v>0</v>
      </c>
      <c r="BC29" s="713">
        <f t="shared" si="7"/>
        <v>0</v>
      </c>
      <c r="BD29" s="713">
        <f t="shared" si="7"/>
        <v>2</v>
      </c>
      <c r="BE29" s="713">
        <f t="shared" si="7"/>
        <v>0</v>
      </c>
      <c r="BF29" s="713">
        <f t="shared" si="7"/>
        <v>0</v>
      </c>
      <c r="BG29" s="713">
        <f t="shared" si="7"/>
        <v>0</v>
      </c>
      <c r="BH29" s="713">
        <f t="shared" si="7"/>
        <v>1</v>
      </c>
      <c r="BI29" s="713">
        <f t="shared" si="7"/>
        <v>0</v>
      </c>
      <c r="BJ29" s="713">
        <f t="shared" si="7"/>
        <v>0</v>
      </c>
      <c r="BK29" s="713">
        <f t="shared" si="7"/>
        <v>1</v>
      </c>
      <c r="BL29" s="713">
        <f t="shared" si="7"/>
        <v>0</v>
      </c>
      <c r="BM29" s="713">
        <f t="shared" si="7"/>
        <v>1</v>
      </c>
      <c r="BN29" s="713">
        <f t="shared" si="7"/>
        <v>1</v>
      </c>
      <c r="BO29" s="713">
        <f t="shared" si="7"/>
        <v>1</v>
      </c>
      <c r="BP29" s="713">
        <f t="shared" si="7"/>
        <v>1</v>
      </c>
    </row>
    <row r="30" spans="1:81" s="44" customFormat="1" ht="31.5" x14ac:dyDescent="0.25">
      <c r="A30" s="30">
        <v>47</v>
      </c>
      <c r="B30" s="127" t="s">
        <v>732</v>
      </c>
      <c r="C30" s="128" t="s">
        <v>106</v>
      </c>
      <c r="D30" s="128" t="s">
        <v>732</v>
      </c>
      <c r="E30" s="127">
        <v>3</v>
      </c>
      <c r="F30" s="32" t="s">
        <v>459</v>
      </c>
      <c r="G30" s="32" t="s">
        <v>60</v>
      </c>
      <c r="H30" s="122" t="s">
        <v>732</v>
      </c>
      <c r="I30" s="599" t="s">
        <v>726</v>
      </c>
      <c r="J30" s="365">
        <f>Psychologia!M68</f>
        <v>50</v>
      </c>
      <c r="K30" s="852">
        <f>Psychologia!N68</f>
        <v>10</v>
      </c>
      <c r="L30" s="367">
        <f>Psychologia!O68</f>
        <v>40</v>
      </c>
      <c r="M30" s="853">
        <f>Psychologia!AB68+Psychologia!AD68+Psychologia!AY68+Psychologia!BA68</f>
        <v>0</v>
      </c>
      <c r="N30" s="369">
        <f>Psychologia!AA68+Psychologia!AX68</f>
        <v>40</v>
      </c>
      <c r="O30" s="854">
        <f>Psychologia!Q68</f>
        <v>2</v>
      </c>
      <c r="P30" s="371" t="str">
        <f>Psychologia!V68</f>
        <v>zal/o</v>
      </c>
      <c r="Q30" s="150">
        <f>SUM(T30:AE30)</f>
        <v>0</v>
      </c>
      <c r="R30" s="135">
        <f t="shared" ref="R30:R33" si="8">SUM(AF30:BG30)</f>
        <v>5</v>
      </c>
      <c r="S30" s="161">
        <f>SUM(BH30:BP30)</f>
        <v>3</v>
      </c>
      <c r="T30" s="132"/>
      <c r="U30" s="131"/>
      <c r="V30" s="131"/>
      <c r="W30" s="131"/>
      <c r="X30" s="131"/>
      <c r="Y30" s="131"/>
      <c r="Z30" s="131"/>
      <c r="AA30" s="131"/>
      <c r="AB30" s="131"/>
      <c r="AC30" s="131"/>
      <c r="AD30" s="131"/>
      <c r="AE30" s="133"/>
      <c r="AF30" s="693">
        <v>1</v>
      </c>
      <c r="AG30" s="131">
        <v>1</v>
      </c>
      <c r="AH30" s="131">
        <v>1</v>
      </c>
      <c r="AI30" s="131"/>
      <c r="AJ30" s="131"/>
      <c r="AK30" s="131"/>
      <c r="AL30" s="131"/>
      <c r="AM30" s="131"/>
      <c r="AN30" s="131"/>
      <c r="AO30" s="131"/>
      <c r="AP30" s="131"/>
      <c r="AQ30" s="131"/>
      <c r="AR30" s="131"/>
      <c r="AS30" s="131"/>
      <c r="AT30" s="131"/>
      <c r="AU30" s="131"/>
      <c r="AV30" s="131"/>
      <c r="AW30" s="131"/>
      <c r="AX30" s="131"/>
      <c r="AY30" s="131"/>
      <c r="AZ30" s="131"/>
      <c r="BA30" s="131">
        <v>1</v>
      </c>
      <c r="BB30" s="131">
        <v>1</v>
      </c>
      <c r="BC30" s="131"/>
      <c r="BD30" s="348"/>
      <c r="BE30" s="348"/>
      <c r="BF30" s="348"/>
      <c r="BG30" s="348"/>
      <c r="BH30" s="144"/>
      <c r="BI30" s="136"/>
      <c r="BJ30" s="136">
        <v>1</v>
      </c>
      <c r="BK30" s="349"/>
      <c r="BL30" s="349"/>
      <c r="BN30" s="349">
        <v>1</v>
      </c>
      <c r="BO30" s="349">
        <v>1</v>
      </c>
      <c r="BP30" s="145"/>
    </row>
    <row r="31" spans="1:81" s="44" customFormat="1" ht="31.5" x14ac:dyDescent="0.25">
      <c r="A31" s="30">
        <v>47</v>
      </c>
      <c r="B31" s="127" t="s">
        <v>732</v>
      </c>
      <c r="C31" s="128" t="s">
        <v>106</v>
      </c>
      <c r="D31" s="128" t="s">
        <v>732</v>
      </c>
      <c r="E31" s="127">
        <v>3</v>
      </c>
      <c r="F31" s="32" t="s">
        <v>459</v>
      </c>
      <c r="G31" s="32" t="s">
        <v>60</v>
      </c>
      <c r="H31" s="122" t="s">
        <v>732</v>
      </c>
      <c r="I31" s="599" t="s">
        <v>727</v>
      </c>
      <c r="J31" s="365">
        <f>Psychologia!M68</f>
        <v>50</v>
      </c>
      <c r="K31" s="852">
        <f>Psychologia!N68</f>
        <v>10</v>
      </c>
      <c r="L31" s="367">
        <f>Psychologia!O68</f>
        <v>40</v>
      </c>
      <c r="M31" s="853">
        <f>Psychologia!AB68+Psychologia!AD68+Psychologia!AY68+Psychologia!BA68</f>
        <v>0</v>
      </c>
      <c r="N31" s="369">
        <f>Psychologia!AA68+Psychologia!AX68</f>
        <v>40</v>
      </c>
      <c r="O31" s="854">
        <f>Psychologia!Q68</f>
        <v>2</v>
      </c>
      <c r="P31" s="371" t="str">
        <f>Psychologia!V68</f>
        <v>zal/o</v>
      </c>
      <c r="Q31" s="150">
        <f>SUM(T31:AE31)</f>
        <v>0</v>
      </c>
      <c r="R31" s="135">
        <f t="shared" ref="R31:R32" si="9">SUM(AF31:BG31)</f>
        <v>5</v>
      </c>
      <c r="S31" s="161">
        <f>SUM(BH31:BP31)</f>
        <v>2</v>
      </c>
      <c r="T31" s="132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3"/>
      <c r="AF31" s="693">
        <v>1</v>
      </c>
      <c r="AG31" s="131">
        <v>1</v>
      </c>
      <c r="AH31" s="131"/>
      <c r="AI31" s="131">
        <v>1</v>
      </c>
      <c r="AJ31" s="131"/>
      <c r="AK31" s="131"/>
      <c r="AL31" s="131"/>
      <c r="AM31" s="131"/>
      <c r="AN31" s="131"/>
      <c r="AO31" s="131">
        <v>1</v>
      </c>
      <c r="AP31" s="131"/>
      <c r="AQ31" s="131"/>
      <c r="AR31" s="131"/>
      <c r="AS31" s="131"/>
      <c r="AT31" s="131">
        <v>1</v>
      </c>
      <c r="AU31" s="131"/>
      <c r="AV31" s="131"/>
      <c r="AW31" s="131"/>
      <c r="AX31" s="131"/>
      <c r="AY31" s="131"/>
      <c r="AZ31" s="131"/>
      <c r="BA31" s="131"/>
      <c r="BB31" s="131"/>
      <c r="BC31" s="131"/>
      <c r="BD31" s="348"/>
      <c r="BE31" s="348"/>
      <c r="BF31" s="348"/>
      <c r="BG31" s="348"/>
      <c r="BH31" s="144"/>
      <c r="BI31" s="136"/>
      <c r="BJ31" s="136">
        <v>1</v>
      </c>
      <c r="BK31" s="349">
        <v>1</v>
      </c>
      <c r="BL31" s="349"/>
      <c r="BM31" s="349"/>
      <c r="BN31" s="349"/>
      <c r="BO31" s="349"/>
      <c r="BP31" s="145"/>
    </row>
    <row r="32" spans="1:81" s="44" customFormat="1" ht="50.25" customHeight="1" x14ac:dyDescent="0.25">
      <c r="A32" s="30">
        <v>48</v>
      </c>
      <c r="B32" s="127" t="s">
        <v>732</v>
      </c>
      <c r="C32" s="128" t="s">
        <v>106</v>
      </c>
      <c r="D32" s="128" t="s">
        <v>732</v>
      </c>
      <c r="E32" s="127">
        <v>3</v>
      </c>
      <c r="F32" s="32" t="s">
        <v>459</v>
      </c>
      <c r="G32" s="32" t="s">
        <v>60</v>
      </c>
      <c r="H32" s="122" t="s">
        <v>732</v>
      </c>
      <c r="I32" s="1078" t="s">
        <v>728</v>
      </c>
      <c r="J32" s="365">
        <f>Psychologia!M69</f>
        <v>50</v>
      </c>
      <c r="K32" s="852">
        <f>Psychologia!N69</f>
        <v>10</v>
      </c>
      <c r="L32" s="367">
        <f>Psychologia!O69</f>
        <v>40</v>
      </c>
      <c r="M32" s="853">
        <f>Psychologia!AB69+Psychologia!AD69+Psychologia!AY69+Psychologia!BA69</f>
        <v>10</v>
      </c>
      <c r="N32" s="369">
        <f>Psychologia!AA69+Psychologia!AX69</f>
        <v>40</v>
      </c>
      <c r="O32" s="854">
        <f>Psychologia!Q69</f>
        <v>2</v>
      </c>
      <c r="P32" s="371" t="str">
        <f>Psychologia!V69</f>
        <v>zal/o</v>
      </c>
      <c r="Q32" s="150">
        <f>SUM(T32:AE32)</f>
        <v>2</v>
      </c>
      <c r="R32" s="135">
        <f t="shared" si="9"/>
        <v>3</v>
      </c>
      <c r="S32" s="161">
        <f>SUM(BH32:BP32)</f>
        <v>1</v>
      </c>
      <c r="T32" s="132"/>
      <c r="U32" s="131"/>
      <c r="V32" s="131"/>
      <c r="W32" s="131">
        <v>1</v>
      </c>
      <c r="X32" s="131"/>
      <c r="Y32" s="131"/>
      <c r="Z32" s="131">
        <v>1</v>
      </c>
      <c r="AA32" s="131"/>
      <c r="AB32" s="131"/>
      <c r="AC32" s="131"/>
      <c r="AD32" s="131"/>
      <c r="AE32" s="133"/>
      <c r="AF32" s="693"/>
      <c r="AG32" s="131"/>
      <c r="AH32" s="131"/>
      <c r="AI32" s="131"/>
      <c r="AJ32" s="131"/>
      <c r="AK32" s="131"/>
      <c r="AL32" s="131"/>
      <c r="AM32" s="131">
        <v>1</v>
      </c>
      <c r="AN32" s="131"/>
      <c r="AO32" s="131"/>
      <c r="AP32" s="131"/>
      <c r="AQ32" s="131"/>
      <c r="AR32" s="131"/>
      <c r="AS32" s="131"/>
      <c r="AT32" s="131"/>
      <c r="AU32" s="131"/>
      <c r="AV32" s="131"/>
      <c r="AW32" s="131">
        <v>1</v>
      </c>
      <c r="AX32" s="131"/>
      <c r="AY32" s="131"/>
      <c r="AZ32" s="131"/>
      <c r="BA32" s="131"/>
      <c r="BB32" s="131"/>
      <c r="BC32" s="131"/>
      <c r="BD32" s="348"/>
      <c r="BE32" s="348"/>
      <c r="BF32" s="348">
        <v>1</v>
      </c>
      <c r="BG32" s="348"/>
      <c r="BH32" s="144">
        <v>1</v>
      </c>
      <c r="BI32" s="136"/>
      <c r="BJ32" s="136"/>
      <c r="BK32" s="349"/>
      <c r="BL32" s="349"/>
      <c r="BM32" s="349"/>
      <c r="BN32" s="349"/>
      <c r="BO32" s="349"/>
      <c r="BP32" s="145"/>
    </row>
    <row r="33" spans="1:68" s="44" customFormat="1" ht="48" thickBot="1" x14ac:dyDescent="0.3">
      <c r="A33" s="1027">
        <v>48</v>
      </c>
      <c r="B33" s="858" t="s">
        <v>732</v>
      </c>
      <c r="C33" s="385" t="s">
        <v>106</v>
      </c>
      <c r="D33" s="385" t="s">
        <v>732</v>
      </c>
      <c r="E33" s="858">
        <v>3</v>
      </c>
      <c r="F33" s="704" t="s">
        <v>459</v>
      </c>
      <c r="G33" s="704" t="s">
        <v>60</v>
      </c>
      <c r="H33" s="859" t="s">
        <v>732</v>
      </c>
      <c r="I33" s="860" t="s">
        <v>729</v>
      </c>
      <c r="J33" s="365">
        <f>Psychologia!M69</f>
        <v>50</v>
      </c>
      <c r="K33" s="852">
        <f>Psychologia!N69</f>
        <v>10</v>
      </c>
      <c r="L33" s="367">
        <f>Psychologia!O69</f>
        <v>40</v>
      </c>
      <c r="M33" s="853">
        <f>Psychologia!AB69+Psychologia!AD69+Psychologia!AY69+Psychologia!BA69</f>
        <v>10</v>
      </c>
      <c r="N33" s="369">
        <f>Psychologia!AA69+Psychologia!AX69</f>
        <v>40</v>
      </c>
      <c r="O33" s="854">
        <f>Psychologia!Q69</f>
        <v>2</v>
      </c>
      <c r="P33" s="371" t="str">
        <f>Psychologia!V69</f>
        <v>zal/o</v>
      </c>
      <c r="Q33" s="386">
        <f>SUM(T33:AE33)</f>
        <v>2</v>
      </c>
      <c r="R33" s="387">
        <f t="shared" si="8"/>
        <v>4</v>
      </c>
      <c r="S33" s="388">
        <f>SUM(BH33:BP33)</f>
        <v>2</v>
      </c>
      <c r="T33" s="144">
        <v>1</v>
      </c>
      <c r="U33" s="136"/>
      <c r="V33" s="136"/>
      <c r="W33" s="136"/>
      <c r="X33" s="136"/>
      <c r="Y33" s="136"/>
      <c r="Z33" s="136"/>
      <c r="AA33" s="136"/>
      <c r="AB33" s="136"/>
      <c r="AC33" s="136"/>
      <c r="AD33" s="136">
        <v>1</v>
      </c>
      <c r="AE33" s="145"/>
      <c r="AF33" s="1022"/>
      <c r="AG33" s="136"/>
      <c r="AH33" s="136"/>
      <c r="AI33" s="136"/>
      <c r="AJ33" s="136"/>
      <c r="AK33" s="136"/>
      <c r="AL33" s="136">
        <v>1</v>
      </c>
      <c r="AM33" s="136"/>
      <c r="AN33" s="136"/>
      <c r="AO33" s="136"/>
      <c r="AP33" s="136">
        <v>1</v>
      </c>
      <c r="AQ33" s="136"/>
      <c r="AR33" s="136"/>
      <c r="AS33" s="136"/>
      <c r="AT33" s="136"/>
      <c r="AU33" s="136"/>
      <c r="AV33" s="136"/>
      <c r="AW33" s="136">
        <v>1</v>
      </c>
      <c r="AX33" s="136"/>
      <c r="AY33" s="136"/>
      <c r="AZ33" s="136"/>
      <c r="BA33" s="136"/>
      <c r="BB33" s="136"/>
      <c r="BC33" s="136"/>
      <c r="BD33" s="349"/>
      <c r="BE33" s="349"/>
      <c r="BF33" s="349">
        <v>1</v>
      </c>
      <c r="BG33" s="349"/>
      <c r="BH33" s="144">
        <v>1</v>
      </c>
      <c r="BI33" s="136"/>
      <c r="BJ33" s="136"/>
      <c r="BK33" s="349"/>
      <c r="BL33" s="349"/>
      <c r="BM33" s="349"/>
      <c r="BN33" s="349"/>
      <c r="BO33" s="349"/>
      <c r="BP33" s="145">
        <v>1</v>
      </c>
    </row>
    <row r="34" spans="1:68" s="44" customFormat="1" ht="30" customHeight="1" thickBot="1" x14ac:dyDescent="0.3">
      <c r="A34" s="292"/>
      <c r="B34" s="293"/>
      <c r="C34" s="294"/>
      <c r="D34" s="294"/>
      <c r="E34" s="293"/>
      <c r="F34" s="294"/>
      <c r="G34" s="294"/>
      <c r="H34" s="295"/>
      <c r="I34" s="296" t="str">
        <f>Psychologia!I80</f>
        <v>sumy dla 3 roku</v>
      </c>
      <c r="J34" s="316">
        <f>SUM(J30:J33)</f>
        <v>200</v>
      </c>
      <c r="K34" s="316">
        <f t="shared" ref="K34:P34" si="10">SUM(K30:K33)</f>
        <v>40</v>
      </c>
      <c r="L34" s="316">
        <f t="shared" si="10"/>
        <v>160</v>
      </c>
      <c r="M34" s="316">
        <f t="shared" si="10"/>
        <v>20</v>
      </c>
      <c r="N34" s="316">
        <f t="shared" si="10"/>
        <v>160</v>
      </c>
      <c r="O34" s="316">
        <f t="shared" si="10"/>
        <v>8</v>
      </c>
      <c r="P34" s="316">
        <f t="shared" si="10"/>
        <v>0</v>
      </c>
      <c r="Q34" s="861">
        <f t="shared" ref="Q34:AN34" si="11">SUM(Q30:Q33)</f>
        <v>4</v>
      </c>
      <c r="R34" s="861">
        <f t="shared" si="11"/>
        <v>17</v>
      </c>
      <c r="S34" s="861">
        <f t="shared" si="11"/>
        <v>8</v>
      </c>
      <c r="T34" s="861">
        <f>SUM(T30:T33)</f>
        <v>1</v>
      </c>
      <c r="U34" s="861">
        <f t="shared" si="11"/>
        <v>0</v>
      </c>
      <c r="V34" s="861">
        <f t="shared" si="11"/>
        <v>0</v>
      </c>
      <c r="W34" s="861">
        <f t="shared" si="11"/>
        <v>1</v>
      </c>
      <c r="X34" s="861">
        <f t="shared" si="11"/>
        <v>0</v>
      </c>
      <c r="Y34" s="861">
        <f t="shared" si="11"/>
        <v>0</v>
      </c>
      <c r="Z34" s="861">
        <f t="shared" si="11"/>
        <v>1</v>
      </c>
      <c r="AA34" s="861">
        <f t="shared" si="11"/>
        <v>0</v>
      </c>
      <c r="AB34" s="861">
        <f t="shared" si="11"/>
        <v>0</v>
      </c>
      <c r="AC34" s="861">
        <f t="shared" si="11"/>
        <v>0</v>
      </c>
      <c r="AD34" s="861">
        <f t="shared" si="11"/>
        <v>1</v>
      </c>
      <c r="AE34" s="863">
        <f t="shared" si="11"/>
        <v>0</v>
      </c>
      <c r="AF34" s="861">
        <f t="shared" si="11"/>
        <v>2</v>
      </c>
      <c r="AG34" s="861">
        <f t="shared" si="11"/>
        <v>2</v>
      </c>
      <c r="AH34" s="861">
        <f t="shared" si="11"/>
        <v>1</v>
      </c>
      <c r="AI34" s="861">
        <f t="shared" si="11"/>
        <v>1</v>
      </c>
      <c r="AJ34" s="861">
        <f t="shared" si="11"/>
        <v>0</v>
      </c>
      <c r="AK34" s="861">
        <f t="shared" si="11"/>
        <v>0</v>
      </c>
      <c r="AL34" s="861">
        <f t="shared" si="11"/>
        <v>1</v>
      </c>
      <c r="AM34" s="861">
        <f t="shared" si="11"/>
        <v>1</v>
      </c>
      <c r="AN34" s="861">
        <f t="shared" si="11"/>
        <v>0</v>
      </c>
      <c r="AO34" s="861">
        <f t="shared" ref="AO34:BP34" si="12">SUM(AO30:AO33)</f>
        <v>1</v>
      </c>
      <c r="AP34" s="861">
        <f t="shared" si="12"/>
        <v>1</v>
      </c>
      <c r="AQ34" s="861">
        <f t="shared" si="12"/>
        <v>0</v>
      </c>
      <c r="AR34" s="861">
        <f t="shared" si="12"/>
        <v>0</v>
      </c>
      <c r="AS34" s="861">
        <f t="shared" si="12"/>
        <v>0</v>
      </c>
      <c r="AT34" s="861">
        <f t="shared" si="12"/>
        <v>1</v>
      </c>
      <c r="AU34" s="861">
        <f t="shared" si="12"/>
        <v>0</v>
      </c>
      <c r="AV34" s="861">
        <f t="shared" si="12"/>
        <v>0</v>
      </c>
      <c r="AW34" s="861">
        <f t="shared" si="12"/>
        <v>2</v>
      </c>
      <c r="AX34" s="861">
        <f t="shared" si="12"/>
        <v>0</v>
      </c>
      <c r="AY34" s="861">
        <f t="shared" si="12"/>
        <v>0</v>
      </c>
      <c r="AZ34" s="861">
        <f t="shared" si="12"/>
        <v>0</v>
      </c>
      <c r="BA34" s="861">
        <f t="shared" si="12"/>
        <v>1</v>
      </c>
      <c r="BB34" s="861">
        <f t="shared" si="12"/>
        <v>1</v>
      </c>
      <c r="BC34" s="861">
        <f t="shared" si="12"/>
        <v>0</v>
      </c>
      <c r="BD34" s="861">
        <f t="shared" si="12"/>
        <v>0</v>
      </c>
      <c r="BE34" s="861">
        <f t="shared" si="12"/>
        <v>0</v>
      </c>
      <c r="BF34" s="861">
        <f t="shared" si="12"/>
        <v>2</v>
      </c>
      <c r="BG34" s="862">
        <f t="shared" si="12"/>
        <v>0</v>
      </c>
      <c r="BH34" s="292">
        <f t="shared" si="12"/>
        <v>2</v>
      </c>
      <c r="BI34" s="861">
        <f t="shared" si="12"/>
        <v>0</v>
      </c>
      <c r="BJ34" s="861">
        <f t="shared" si="12"/>
        <v>2</v>
      </c>
      <c r="BK34" s="861">
        <f t="shared" si="12"/>
        <v>1</v>
      </c>
      <c r="BL34" s="861">
        <f t="shared" si="12"/>
        <v>0</v>
      </c>
      <c r="BM34" s="861">
        <f t="shared" si="12"/>
        <v>0</v>
      </c>
      <c r="BN34" s="861">
        <f>SUM(BN30:BN33)</f>
        <v>1</v>
      </c>
      <c r="BO34" s="861">
        <f t="shared" si="12"/>
        <v>1</v>
      </c>
      <c r="BP34" s="863">
        <f t="shared" si="12"/>
        <v>1</v>
      </c>
    </row>
    <row r="35" spans="1:68" s="44" customFormat="1" ht="60" customHeight="1" x14ac:dyDescent="0.25">
      <c r="A35" s="30">
        <v>61</v>
      </c>
      <c r="B35" s="127" t="s">
        <v>732</v>
      </c>
      <c r="C35" s="128" t="s">
        <v>106</v>
      </c>
      <c r="D35" s="128" t="s">
        <v>732</v>
      </c>
      <c r="E35" s="127">
        <v>4</v>
      </c>
      <c r="F35" s="32" t="s">
        <v>469</v>
      </c>
      <c r="G35" s="32" t="s">
        <v>60</v>
      </c>
      <c r="H35" s="122" t="s">
        <v>732</v>
      </c>
      <c r="I35" s="1112" t="s">
        <v>946</v>
      </c>
      <c r="J35" s="372">
        <f>Psychologia!M83</f>
        <v>50</v>
      </c>
      <c r="K35" s="855">
        <f>Psychologia!N83</f>
        <v>10</v>
      </c>
      <c r="L35" s="374">
        <f>Psychologia!O83</f>
        <v>40</v>
      </c>
      <c r="M35" s="856">
        <f>Psychologia!AB83+Psychologia!AD83+Psychologia!AY83+Psychologia!BA83</f>
        <v>0</v>
      </c>
      <c r="N35" s="376">
        <f>Psychologia!AA83+Psychologia!AX83</f>
        <v>40</v>
      </c>
      <c r="O35" s="857">
        <f>Psychologia!Q83</f>
        <v>2</v>
      </c>
      <c r="P35" s="371" t="str">
        <f>Psychologia!V83</f>
        <v>zal/o</v>
      </c>
      <c r="Q35" s="389">
        <f t="shared" ref="Q35:Q41" si="13">SUM(T35:AE35)</f>
        <v>1</v>
      </c>
      <c r="R35" s="390">
        <f t="shared" ref="R35:R41" si="14">SUM(AF35:BG35)</f>
        <v>3</v>
      </c>
      <c r="S35" s="394">
        <f>SUM(BH35:BP35)</f>
        <v>3</v>
      </c>
      <c r="T35" s="132"/>
      <c r="U35" s="131"/>
      <c r="V35" s="131"/>
      <c r="W35" s="131"/>
      <c r="X35" s="131">
        <v>1</v>
      </c>
      <c r="Y35" s="131"/>
      <c r="Z35" s="131"/>
      <c r="AA35" s="131"/>
      <c r="AB35" s="131"/>
      <c r="AC35" s="131"/>
      <c r="AD35" s="131"/>
      <c r="AE35" s="133"/>
      <c r="AF35" s="693"/>
      <c r="AG35" s="131"/>
      <c r="AH35" s="131"/>
      <c r="AI35" s="131"/>
      <c r="AJ35" s="131">
        <v>1</v>
      </c>
      <c r="AK35" s="131"/>
      <c r="AL35" s="131"/>
      <c r="AM35" s="131"/>
      <c r="AN35" s="131">
        <v>1</v>
      </c>
      <c r="AO35" s="131"/>
      <c r="AP35" s="131">
        <v>1</v>
      </c>
      <c r="AQ35" s="131"/>
      <c r="AR35" s="131"/>
      <c r="AS35" s="131"/>
      <c r="AT35" s="131"/>
      <c r="AU35" s="131"/>
      <c r="AV35" s="131"/>
      <c r="AW35" s="131"/>
      <c r="AX35" s="131"/>
      <c r="AY35" s="131"/>
      <c r="AZ35" s="131"/>
      <c r="BA35" s="131"/>
      <c r="BB35" s="131"/>
      <c r="BC35" s="131"/>
      <c r="BD35" s="348"/>
      <c r="BE35" s="348"/>
      <c r="BF35" s="348"/>
      <c r="BG35" s="348"/>
      <c r="BH35" s="144"/>
      <c r="BI35" s="136"/>
      <c r="BJ35" s="136">
        <v>1</v>
      </c>
      <c r="BK35" s="349">
        <v>1</v>
      </c>
      <c r="BL35" s="349">
        <v>1</v>
      </c>
      <c r="BM35" s="349"/>
      <c r="BN35" s="349"/>
      <c r="BP35" s="349"/>
    </row>
    <row r="36" spans="1:68" s="44" customFormat="1" ht="60" customHeight="1" x14ac:dyDescent="0.25">
      <c r="A36" s="30">
        <v>61</v>
      </c>
      <c r="B36" s="127" t="s">
        <v>732</v>
      </c>
      <c r="C36" s="128" t="s">
        <v>106</v>
      </c>
      <c r="D36" s="128" t="s">
        <v>732</v>
      </c>
      <c r="E36" s="127">
        <v>4</v>
      </c>
      <c r="F36" s="32" t="s">
        <v>469</v>
      </c>
      <c r="G36" s="32" t="s">
        <v>60</v>
      </c>
      <c r="H36" s="122" t="s">
        <v>732</v>
      </c>
      <c r="I36" s="1019" t="s">
        <v>730</v>
      </c>
      <c r="J36" s="372">
        <f>Psychologia!M83</f>
        <v>50</v>
      </c>
      <c r="K36" s="855">
        <f>Psychologia!N83</f>
        <v>10</v>
      </c>
      <c r="L36" s="374">
        <f>Psychologia!O83</f>
        <v>40</v>
      </c>
      <c r="M36" s="856">
        <f>Psychologia!AB83+Psychologia!AD83+Psychologia!AY83+Psychologia!BA83</f>
        <v>0</v>
      </c>
      <c r="N36" s="376">
        <f>Psychologia!AA83+Psychologia!AX83</f>
        <v>40</v>
      </c>
      <c r="O36" s="857">
        <f>Psychologia!Q83</f>
        <v>2</v>
      </c>
      <c r="P36" s="378" t="str">
        <f>Psychologia!V83</f>
        <v>zal/o</v>
      </c>
      <c r="Q36" s="389">
        <f t="shared" si="13"/>
        <v>0</v>
      </c>
      <c r="R36" s="390">
        <f t="shared" ref="R36:R39" si="15">SUM(AF36:BG36)</f>
        <v>5</v>
      </c>
      <c r="S36" s="394">
        <f t="shared" ref="S36:S41" si="16">SUM(BH36:BP36)</f>
        <v>2</v>
      </c>
      <c r="T36" s="132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3"/>
      <c r="AF36" s="693">
        <v>1</v>
      </c>
      <c r="AG36" s="131"/>
      <c r="AH36" s="131"/>
      <c r="AI36" s="131">
        <v>1</v>
      </c>
      <c r="AJ36" s="131">
        <v>1</v>
      </c>
      <c r="AK36" s="131"/>
      <c r="AL36" s="131"/>
      <c r="AM36" s="131"/>
      <c r="AN36" s="131"/>
      <c r="AO36" s="131"/>
      <c r="AQ36" s="131"/>
      <c r="AR36" s="131"/>
      <c r="AS36" s="131"/>
      <c r="AT36" s="131"/>
      <c r="AU36" s="131"/>
      <c r="AV36" s="131"/>
      <c r="AW36" s="131"/>
      <c r="AX36" s="131"/>
      <c r="AY36" s="131"/>
      <c r="AZ36" s="131">
        <v>1</v>
      </c>
      <c r="BA36" s="131">
        <v>1</v>
      </c>
      <c r="BB36" s="131"/>
      <c r="BC36" s="131"/>
      <c r="BD36" s="348"/>
      <c r="BE36" s="348"/>
      <c r="BF36" s="348"/>
      <c r="BG36" s="348"/>
      <c r="BH36" s="144"/>
      <c r="BI36" s="136">
        <v>1</v>
      </c>
      <c r="BJ36" s="136"/>
      <c r="BK36" s="349"/>
      <c r="BL36" s="349"/>
      <c r="BM36" s="349"/>
      <c r="BN36" s="349"/>
      <c r="BO36" s="349">
        <v>1</v>
      </c>
      <c r="BP36" s="145"/>
    </row>
    <row r="37" spans="1:68" s="44" customFormat="1" ht="75" customHeight="1" x14ac:dyDescent="0.25">
      <c r="A37" s="30">
        <v>61</v>
      </c>
      <c r="B37" s="127" t="s">
        <v>732</v>
      </c>
      <c r="C37" s="128" t="s">
        <v>106</v>
      </c>
      <c r="D37" s="128" t="s">
        <v>732</v>
      </c>
      <c r="E37" s="127">
        <v>4</v>
      </c>
      <c r="F37" s="32" t="s">
        <v>469</v>
      </c>
      <c r="G37" s="32" t="s">
        <v>60</v>
      </c>
      <c r="H37" s="122" t="s">
        <v>732</v>
      </c>
      <c r="I37" s="1019" t="s">
        <v>731</v>
      </c>
      <c r="J37" s="372">
        <f>Psychologia!M83</f>
        <v>50</v>
      </c>
      <c r="K37" s="855">
        <f>Psychologia!N83</f>
        <v>10</v>
      </c>
      <c r="L37" s="374">
        <f>Psychologia!O83</f>
        <v>40</v>
      </c>
      <c r="M37" s="856">
        <f>Psychologia!AB83+Psychologia!AD83+Psychologia!AY83+Psychologia!BA83</f>
        <v>0</v>
      </c>
      <c r="N37" s="376">
        <f>Psychologia!AA83+Psychologia!AX83</f>
        <v>40</v>
      </c>
      <c r="O37" s="857">
        <f>Psychologia!Q83</f>
        <v>2</v>
      </c>
      <c r="P37" s="378" t="str">
        <f>Psychologia!V83</f>
        <v>zal/o</v>
      </c>
      <c r="Q37" s="389">
        <f t="shared" si="13"/>
        <v>0</v>
      </c>
      <c r="R37" s="390">
        <f t="shared" si="15"/>
        <v>3</v>
      </c>
      <c r="S37" s="394">
        <f t="shared" si="16"/>
        <v>3</v>
      </c>
      <c r="T37" s="132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3"/>
      <c r="AF37" s="693"/>
      <c r="AG37" s="131"/>
      <c r="AH37" s="131"/>
      <c r="AI37" s="131"/>
      <c r="AJ37" s="131">
        <v>1</v>
      </c>
      <c r="AK37" s="131">
        <v>1</v>
      </c>
      <c r="AL37" s="131"/>
      <c r="AM37" s="131"/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  <c r="AX37" s="131">
        <v>1</v>
      </c>
      <c r="AY37" s="131"/>
      <c r="AZ37" s="131"/>
      <c r="BA37" s="131"/>
      <c r="BB37" s="131"/>
      <c r="BC37" s="131"/>
      <c r="BD37" s="348"/>
      <c r="BE37" s="348"/>
      <c r="BF37" s="348"/>
      <c r="BG37" s="348"/>
      <c r="BH37" s="144"/>
      <c r="BI37" s="136">
        <v>1</v>
      </c>
      <c r="BJ37" s="136">
        <v>1</v>
      </c>
      <c r="BK37" s="349"/>
      <c r="BL37" s="349"/>
      <c r="BM37" s="349"/>
      <c r="BN37" s="349"/>
      <c r="BO37" s="349">
        <v>1</v>
      </c>
      <c r="BP37" s="145"/>
    </row>
    <row r="38" spans="1:68" s="44" customFormat="1" ht="60" customHeight="1" x14ac:dyDescent="0.25">
      <c r="A38" s="45">
        <v>62</v>
      </c>
      <c r="B38" s="127"/>
      <c r="C38" s="128" t="s">
        <v>106</v>
      </c>
      <c r="D38" s="128"/>
      <c r="E38" s="127">
        <v>4</v>
      </c>
      <c r="F38" s="32" t="s">
        <v>469</v>
      </c>
      <c r="G38" s="32" t="s">
        <v>60</v>
      </c>
      <c r="H38" s="122"/>
      <c r="I38" s="1113" t="s">
        <v>939</v>
      </c>
      <c r="J38" s="372">
        <f>Psychologia!M84</f>
        <v>75</v>
      </c>
      <c r="K38" s="855">
        <f>Psychologia!N84</f>
        <v>15</v>
      </c>
      <c r="L38" s="374">
        <f>Psychologia!O84</f>
        <v>60</v>
      </c>
      <c r="M38" s="856">
        <f>Psychologia!AB84+Psychologia!AD84+Psychologia!AY84+Psychologia!BA84</f>
        <v>20</v>
      </c>
      <c r="N38" s="376">
        <f>Psychologia!AA84+Psychologia!AX84</f>
        <v>60</v>
      </c>
      <c r="O38" s="857">
        <f>Psychologia!Q84</f>
        <v>3</v>
      </c>
      <c r="P38" s="378" t="str">
        <f>Psychologia!V84</f>
        <v>zal/o</v>
      </c>
      <c r="Q38" s="389">
        <f t="shared" si="13"/>
        <v>2</v>
      </c>
      <c r="R38" s="390">
        <f>SUM(AF38:BG38)</f>
        <v>4</v>
      </c>
      <c r="S38" s="394">
        <f t="shared" si="16"/>
        <v>2</v>
      </c>
      <c r="T38" s="132">
        <v>1</v>
      </c>
      <c r="U38" s="131"/>
      <c r="V38" s="131"/>
      <c r="W38" s="131"/>
      <c r="X38" s="131">
        <v>1</v>
      </c>
      <c r="Y38" s="131"/>
      <c r="Z38" s="131"/>
      <c r="AA38" s="131"/>
      <c r="AB38" s="131"/>
      <c r="AC38" s="131"/>
      <c r="AD38" s="131"/>
      <c r="AE38" s="133"/>
      <c r="AF38" s="693"/>
      <c r="AG38" s="131"/>
      <c r="AH38" s="131"/>
      <c r="AI38" s="131"/>
      <c r="AJ38" s="131">
        <v>1</v>
      </c>
      <c r="AK38" s="131">
        <v>1</v>
      </c>
      <c r="AL38" s="131"/>
      <c r="AM38" s="131"/>
      <c r="AN38" s="131">
        <v>1</v>
      </c>
      <c r="AO38" s="131"/>
      <c r="AP38" s="131">
        <v>1</v>
      </c>
      <c r="AQ38" s="131"/>
      <c r="AR38" s="131"/>
      <c r="AS38" s="131"/>
      <c r="AT38" s="131"/>
      <c r="AU38" s="131"/>
      <c r="AV38" s="131"/>
      <c r="AW38" s="131"/>
      <c r="AX38" s="131"/>
      <c r="AY38" s="131"/>
      <c r="AZ38" s="131"/>
      <c r="BA38" s="131"/>
      <c r="BB38" s="131"/>
      <c r="BC38" s="131"/>
      <c r="BD38" s="348"/>
      <c r="BE38" s="348"/>
      <c r="BF38" s="348"/>
      <c r="BG38" s="348"/>
      <c r="BH38" s="144"/>
      <c r="BI38" s="136"/>
      <c r="BJ38" s="136">
        <v>1</v>
      </c>
      <c r="BK38" s="349"/>
      <c r="BL38" s="349"/>
      <c r="BM38" s="349">
        <v>1</v>
      </c>
      <c r="BN38" s="349"/>
      <c r="BO38" s="349"/>
      <c r="BP38" s="145"/>
    </row>
    <row r="39" spans="1:68" s="44" customFormat="1" ht="60" customHeight="1" x14ac:dyDescent="0.25">
      <c r="A39" s="45">
        <v>62</v>
      </c>
      <c r="B39" s="127"/>
      <c r="C39" s="128" t="s">
        <v>106</v>
      </c>
      <c r="D39" s="128"/>
      <c r="E39" s="127">
        <v>4</v>
      </c>
      <c r="F39" s="32" t="s">
        <v>469</v>
      </c>
      <c r="G39" s="32" t="s">
        <v>60</v>
      </c>
      <c r="H39" s="122"/>
      <c r="I39" s="1019" t="s">
        <v>734</v>
      </c>
      <c r="J39" s="372">
        <f>Psychologia!M84</f>
        <v>75</v>
      </c>
      <c r="K39" s="855">
        <f>Psychologia!N84</f>
        <v>15</v>
      </c>
      <c r="L39" s="374">
        <f>Psychologia!O84</f>
        <v>60</v>
      </c>
      <c r="M39" s="856">
        <f>Psychologia!AB84+Psychologia!AD84+Psychologia!AY84+Psychologia!BA84</f>
        <v>20</v>
      </c>
      <c r="N39" s="376">
        <f>Psychologia!AA84+Psychologia!AX84</f>
        <v>60</v>
      </c>
      <c r="O39" s="857">
        <f>Psychologia!Q84</f>
        <v>3</v>
      </c>
      <c r="P39" s="378" t="str">
        <f>Psychologia!V84</f>
        <v>zal/o</v>
      </c>
      <c r="Q39" s="389">
        <f t="shared" si="13"/>
        <v>2</v>
      </c>
      <c r="R39" s="390">
        <f t="shared" si="15"/>
        <v>4</v>
      </c>
      <c r="S39" s="394">
        <f t="shared" si="16"/>
        <v>2</v>
      </c>
      <c r="T39" s="132"/>
      <c r="U39" s="131"/>
      <c r="V39" s="131"/>
      <c r="W39" s="131"/>
      <c r="X39" s="131">
        <v>1</v>
      </c>
      <c r="Y39" s="131"/>
      <c r="Z39" s="131"/>
      <c r="AA39" s="131"/>
      <c r="AB39" s="131"/>
      <c r="AC39" s="131"/>
      <c r="AD39" s="131">
        <v>1</v>
      </c>
      <c r="AE39" s="133"/>
      <c r="AG39" s="131"/>
      <c r="AH39" s="131"/>
      <c r="AI39" s="131"/>
      <c r="AJ39" s="131"/>
      <c r="AK39" s="131"/>
      <c r="AL39" s="131">
        <v>1</v>
      </c>
      <c r="AM39" s="131"/>
      <c r="AN39" s="131">
        <v>1</v>
      </c>
      <c r="AO39" s="131"/>
      <c r="AP39" s="131">
        <v>1</v>
      </c>
      <c r="AQ39" s="131"/>
      <c r="AR39" s="131">
        <v>1</v>
      </c>
      <c r="AS39" s="131"/>
      <c r="AT39" s="131"/>
      <c r="AU39" s="131"/>
      <c r="AV39" s="131"/>
      <c r="AW39" s="131"/>
      <c r="AX39" s="131"/>
      <c r="AY39" s="131"/>
      <c r="AZ39" s="131"/>
      <c r="BA39" s="131"/>
      <c r="BB39" s="131"/>
      <c r="BC39" s="131"/>
      <c r="BD39" s="348"/>
      <c r="BE39" s="348"/>
      <c r="BF39" s="348"/>
      <c r="BG39" s="348"/>
      <c r="BH39" s="144"/>
      <c r="BI39" s="136"/>
      <c r="BJ39" s="136"/>
      <c r="BK39" s="349"/>
      <c r="BL39" s="349"/>
      <c r="BM39" s="349">
        <v>1</v>
      </c>
      <c r="BN39" s="349"/>
      <c r="BO39" s="349"/>
      <c r="BP39" s="145">
        <v>1</v>
      </c>
    </row>
    <row r="40" spans="1:68" s="44" customFormat="1" ht="60" customHeight="1" x14ac:dyDescent="0.25">
      <c r="A40" s="45">
        <v>63</v>
      </c>
      <c r="B40" s="127"/>
      <c r="C40" s="128" t="s">
        <v>106</v>
      </c>
      <c r="D40" s="128"/>
      <c r="E40" s="127">
        <v>4</v>
      </c>
      <c r="F40" s="32" t="s">
        <v>469</v>
      </c>
      <c r="G40" s="32" t="s">
        <v>60</v>
      </c>
      <c r="H40" s="122"/>
      <c r="I40" s="1020" t="s">
        <v>735</v>
      </c>
      <c r="J40" s="372">
        <f>Psychologia!M85</f>
        <v>100</v>
      </c>
      <c r="K40" s="855">
        <f>Psychologia!N85</f>
        <v>40</v>
      </c>
      <c r="L40" s="374">
        <f>Psychologia!O85</f>
        <v>60</v>
      </c>
      <c r="M40" s="856">
        <f>Psychologia!AB85+Psychologia!AD85+Psychologia!AY85+Psychologia!BA85</f>
        <v>10</v>
      </c>
      <c r="N40" s="376">
        <f>Psychologia!AA85+Psychologia!AX85</f>
        <v>60</v>
      </c>
      <c r="O40" s="857">
        <f>Psychologia!Q85</f>
        <v>4</v>
      </c>
      <c r="P40" s="378" t="str">
        <f>Psychologia!V85</f>
        <v>zal/o</v>
      </c>
      <c r="Q40" s="389">
        <f t="shared" si="13"/>
        <v>3</v>
      </c>
      <c r="R40" s="390">
        <f t="shared" si="14"/>
        <v>4</v>
      </c>
      <c r="S40" s="394">
        <f t="shared" si="16"/>
        <v>3</v>
      </c>
      <c r="T40" s="132"/>
      <c r="U40" s="131"/>
      <c r="V40" s="131">
        <v>1</v>
      </c>
      <c r="W40" s="131"/>
      <c r="X40" s="131"/>
      <c r="Y40" s="131"/>
      <c r="Z40" s="131"/>
      <c r="AA40" s="131"/>
      <c r="AB40" s="131">
        <v>1</v>
      </c>
      <c r="AC40" s="131">
        <v>1</v>
      </c>
      <c r="AD40" s="131"/>
      <c r="AE40" s="133"/>
      <c r="AF40" s="693"/>
      <c r="AG40" s="131"/>
      <c r="AH40" s="131"/>
      <c r="AI40" s="131"/>
      <c r="AJ40" s="131">
        <v>1</v>
      </c>
      <c r="AK40" s="131">
        <v>1</v>
      </c>
      <c r="AL40" s="131"/>
      <c r="AM40" s="131"/>
      <c r="AN40" s="131">
        <v>1</v>
      </c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/>
      <c r="BA40" s="131"/>
      <c r="BB40" s="131"/>
      <c r="BC40" s="131"/>
      <c r="BD40" s="348"/>
      <c r="BE40" s="348"/>
      <c r="BF40" s="348"/>
      <c r="BG40" s="348">
        <v>1</v>
      </c>
      <c r="BH40" s="144"/>
      <c r="BI40" s="136">
        <v>1</v>
      </c>
      <c r="BJ40" s="136">
        <v>1</v>
      </c>
      <c r="BK40" s="349"/>
      <c r="BL40" s="349"/>
      <c r="BM40" s="349"/>
      <c r="BN40" s="349"/>
      <c r="BO40" s="349">
        <v>1</v>
      </c>
      <c r="BP40" s="145"/>
    </row>
    <row r="41" spans="1:68" s="44" customFormat="1" ht="60" customHeight="1" thickBot="1" x14ac:dyDescent="0.3">
      <c r="A41" s="64">
        <v>63</v>
      </c>
      <c r="B41" s="62"/>
      <c r="C41" s="61" t="s">
        <v>106</v>
      </c>
      <c r="D41" s="61"/>
      <c r="E41" s="718">
        <v>4</v>
      </c>
      <c r="F41" s="704" t="s">
        <v>469</v>
      </c>
      <c r="G41" s="61" t="s">
        <v>60</v>
      </c>
      <c r="H41" s="121"/>
      <c r="I41" s="1102" t="s">
        <v>942</v>
      </c>
      <c r="J41" s="372">
        <f>Psychologia!M85</f>
        <v>100</v>
      </c>
      <c r="K41" s="855">
        <f>Psychologia!N85</f>
        <v>40</v>
      </c>
      <c r="L41" s="374">
        <f>Psychologia!O85</f>
        <v>60</v>
      </c>
      <c r="M41" s="856">
        <f>Psychologia!AB85+Psychologia!AD85+Psychologia!AY85+Psychologia!BA85</f>
        <v>10</v>
      </c>
      <c r="N41" s="376">
        <f>Psychologia!AA85+Psychologia!AX85</f>
        <v>60</v>
      </c>
      <c r="O41" s="857">
        <f>Psychologia!Q85</f>
        <v>4</v>
      </c>
      <c r="P41" s="378" t="str">
        <f>Psychologia!V85</f>
        <v>zal/o</v>
      </c>
      <c r="Q41" s="864">
        <f t="shared" si="13"/>
        <v>3</v>
      </c>
      <c r="R41" s="865">
        <f t="shared" si="14"/>
        <v>3</v>
      </c>
      <c r="S41" s="866">
        <f t="shared" si="16"/>
        <v>3</v>
      </c>
      <c r="T41" s="144"/>
      <c r="U41" s="136"/>
      <c r="V41" s="136">
        <v>1</v>
      </c>
      <c r="W41" s="136"/>
      <c r="X41" s="136">
        <v>1</v>
      </c>
      <c r="Y41" s="136"/>
      <c r="Z41" s="136"/>
      <c r="AA41" s="136"/>
      <c r="AB41" s="136"/>
      <c r="AC41" s="136">
        <v>1</v>
      </c>
      <c r="AD41" s="136"/>
      <c r="AE41" s="145"/>
      <c r="AF41" s="1022"/>
      <c r="AG41" s="136"/>
      <c r="AH41" s="136"/>
      <c r="AI41" s="136"/>
      <c r="AJ41" s="136">
        <v>1</v>
      </c>
      <c r="AK41" s="136">
        <v>1</v>
      </c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>
        <v>1</v>
      </c>
      <c r="AY41" s="136"/>
      <c r="AZ41" s="136"/>
      <c r="BA41" s="136"/>
      <c r="BB41" s="136"/>
      <c r="BC41" s="136"/>
      <c r="BD41" s="349"/>
      <c r="BE41" s="349"/>
      <c r="BF41" s="349"/>
      <c r="BG41" s="349"/>
      <c r="BH41" s="144"/>
      <c r="BI41" s="136">
        <v>1</v>
      </c>
      <c r="BJ41" s="136">
        <v>1</v>
      </c>
      <c r="BK41" s="349"/>
      <c r="BL41" s="349"/>
      <c r="BM41" s="349"/>
      <c r="BN41" s="349"/>
      <c r="BO41" s="349">
        <v>1</v>
      </c>
      <c r="BP41" s="145"/>
    </row>
    <row r="42" spans="1:68" s="44" customFormat="1" ht="60" customHeight="1" thickBot="1" x14ac:dyDescent="0.3">
      <c r="A42" s="325"/>
      <c r="B42" s="326"/>
      <c r="C42" s="327"/>
      <c r="D42" s="327"/>
      <c r="E42" s="326"/>
      <c r="F42" s="327"/>
      <c r="G42" s="327"/>
      <c r="H42" s="328"/>
      <c r="I42" s="1021" t="str">
        <f>Psychologia!I104</f>
        <v>sumy dla 4 roku</v>
      </c>
      <c r="J42" s="330">
        <f>SUM(J35:J41)</f>
        <v>500</v>
      </c>
      <c r="K42" s="330">
        <f t="shared" ref="K42:P42" si="17">SUM(K35:K41)</f>
        <v>140</v>
      </c>
      <c r="L42" s="330">
        <f t="shared" si="17"/>
        <v>360</v>
      </c>
      <c r="M42" s="330">
        <f t="shared" si="17"/>
        <v>60</v>
      </c>
      <c r="N42" s="330">
        <f t="shared" si="17"/>
        <v>360</v>
      </c>
      <c r="O42" s="330">
        <f t="shared" si="17"/>
        <v>20</v>
      </c>
      <c r="P42" s="330">
        <f t="shared" si="17"/>
        <v>0</v>
      </c>
      <c r="Q42" s="867">
        <f t="shared" ref="Q42:AN42" si="18">SUM(Q35:Q41)</f>
        <v>11</v>
      </c>
      <c r="R42" s="867">
        <f t="shared" si="18"/>
        <v>26</v>
      </c>
      <c r="S42" s="867">
        <f t="shared" si="18"/>
        <v>18</v>
      </c>
      <c r="T42" s="327">
        <f>SUM(T35:T41)</f>
        <v>1</v>
      </c>
      <c r="U42" s="867">
        <f t="shared" si="18"/>
        <v>0</v>
      </c>
      <c r="V42" s="867">
        <f t="shared" si="18"/>
        <v>2</v>
      </c>
      <c r="W42" s="867">
        <f t="shared" si="18"/>
        <v>0</v>
      </c>
      <c r="X42" s="867">
        <f t="shared" si="18"/>
        <v>4</v>
      </c>
      <c r="Y42" s="867">
        <f t="shared" si="18"/>
        <v>0</v>
      </c>
      <c r="Z42" s="867">
        <f t="shared" si="18"/>
        <v>0</v>
      </c>
      <c r="AA42" s="867">
        <f t="shared" si="18"/>
        <v>0</v>
      </c>
      <c r="AB42" s="867">
        <f t="shared" si="18"/>
        <v>1</v>
      </c>
      <c r="AC42" s="867">
        <f t="shared" si="18"/>
        <v>2</v>
      </c>
      <c r="AD42" s="867">
        <f t="shared" si="18"/>
        <v>1</v>
      </c>
      <c r="AE42" s="869">
        <f t="shared" si="18"/>
        <v>0</v>
      </c>
      <c r="AF42" s="867">
        <f t="shared" si="18"/>
        <v>1</v>
      </c>
      <c r="AG42" s="867">
        <f t="shared" si="18"/>
        <v>0</v>
      </c>
      <c r="AH42" s="867">
        <f t="shared" si="18"/>
        <v>0</v>
      </c>
      <c r="AI42" s="867">
        <f t="shared" si="18"/>
        <v>1</v>
      </c>
      <c r="AJ42" s="867">
        <f t="shared" si="18"/>
        <v>6</v>
      </c>
      <c r="AK42" s="867">
        <f t="shared" si="18"/>
        <v>4</v>
      </c>
      <c r="AL42" s="867">
        <f t="shared" si="18"/>
        <v>1</v>
      </c>
      <c r="AM42" s="867">
        <f t="shared" si="18"/>
        <v>0</v>
      </c>
      <c r="AN42" s="867">
        <f t="shared" si="18"/>
        <v>4</v>
      </c>
      <c r="AO42" s="867">
        <f t="shared" ref="AO42:BO42" si="19">SUM(AO35:AO41)</f>
        <v>0</v>
      </c>
      <c r="AP42" s="867">
        <f t="shared" si="19"/>
        <v>3</v>
      </c>
      <c r="AQ42" s="867">
        <f t="shared" si="19"/>
        <v>0</v>
      </c>
      <c r="AR42" s="867">
        <f t="shared" si="19"/>
        <v>1</v>
      </c>
      <c r="AS42" s="867">
        <f t="shared" si="19"/>
        <v>0</v>
      </c>
      <c r="AT42" s="867">
        <f t="shared" si="19"/>
        <v>0</v>
      </c>
      <c r="AU42" s="867">
        <f t="shared" si="19"/>
        <v>0</v>
      </c>
      <c r="AV42" s="867">
        <f t="shared" si="19"/>
        <v>0</v>
      </c>
      <c r="AW42" s="867">
        <f t="shared" si="19"/>
        <v>0</v>
      </c>
      <c r="AX42" s="867">
        <f t="shared" si="19"/>
        <v>2</v>
      </c>
      <c r="AY42" s="867">
        <f t="shared" si="19"/>
        <v>0</v>
      </c>
      <c r="AZ42" s="867">
        <f t="shared" si="19"/>
        <v>1</v>
      </c>
      <c r="BA42" s="867">
        <f t="shared" si="19"/>
        <v>1</v>
      </c>
      <c r="BB42" s="867">
        <f t="shared" si="19"/>
        <v>0</v>
      </c>
      <c r="BC42" s="867">
        <f t="shared" si="19"/>
        <v>0</v>
      </c>
      <c r="BD42" s="867">
        <f t="shared" si="19"/>
        <v>0</v>
      </c>
      <c r="BE42" s="867">
        <f t="shared" si="19"/>
        <v>0</v>
      </c>
      <c r="BF42" s="867">
        <f t="shared" si="19"/>
        <v>0</v>
      </c>
      <c r="BG42" s="868">
        <f t="shared" si="19"/>
        <v>1</v>
      </c>
      <c r="BH42" s="325">
        <f t="shared" si="19"/>
        <v>0</v>
      </c>
      <c r="BI42" s="867">
        <f t="shared" si="19"/>
        <v>4</v>
      </c>
      <c r="BJ42" s="867">
        <f t="shared" si="19"/>
        <v>5</v>
      </c>
      <c r="BK42" s="867">
        <f t="shared" si="19"/>
        <v>1</v>
      </c>
      <c r="BL42" s="867">
        <f t="shared" si="19"/>
        <v>1</v>
      </c>
      <c r="BM42" s="867">
        <f t="shared" si="19"/>
        <v>2</v>
      </c>
      <c r="BN42" s="867">
        <f t="shared" si="19"/>
        <v>0</v>
      </c>
      <c r="BO42" s="867">
        <f t="shared" si="19"/>
        <v>4</v>
      </c>
      <c r="BP42" s="869">
        <f>SUM(BP35:BP41)</f>
        <v>1</v>
      </c>
    </row>
    <row r="43" spans="1:68" s="44" customFormat="1" ht="60" customHeight="1" x14ac:dyDescent="0.25">
      <c r="A43" s="45">
        <v>83</v>
      </c>
      <c r="B43" s="127" t="s">
        <v>732</v>
      </c>
      <c r="C43" s="128" t="s">
        <v>106</v>
      </c>
      <c r="D43" s="128" t="s">
        <v>732</v>
      </c>
      <c r="E43" s="127">
        <v>5</v>
      </c>
      <c r="F43" s="32" t="s">
        <v>470</v>
      </c>
      <c r="G43" s="32" t="s">
        <v>60</v>
      </c>
      <c r="H43" s="122" t="s">
        <v>732</v>
      </c>
      <c r="I43" s="1019" t="s">
        <v>736</v>
      </c>
      <c r="J43" s="372">
        <f>Psychologia!M106</f>
        <v>100</v>
      </c>
      <c r="K43" s="373">
        <f>Psychologia!N106</f>
        <v>40</v>
      </c>
      <c r="L43" s="374">
        <f>Psychologia!O106</f>
        <v>60</v>
      </c>
      <c r="M43" s="856">
        <f>Psychologia!AB87+Psychologia!AD87+Psychologia!AY87+Psychologia!BA87</f>
        <v>0</v>
      </c>
      <c r="N43" s="376">
        <f>Psychologia!AA87+Psychologia!AX87</f>
        <v>160</v>
      </c>
      <c r="O43" s="377">
        <f>Psychologia!Q87</f>
        <v>6</v>
      </c>
      <c r="P43" s="378" t="str">
        <f>Psychologia!V87</f>
        <v>zal/o</v>
      </c>
      <c r="Q43" s="389">
        <f>SUM(T43:AE43)</f>
        <v>4</v>
      </c>
      <c r="R43" s="390">
        <f t="shared" ref="R43:R45" si="20">SUM(AF43:BG43)</f>
        <v>6</v>
      </c>
      <c r="S43" s="394">
        <f>SUM(BH43:BP43)</f>
        <v>3</v>
      </c>
      <c r="T43" s="132"/>
      <c r="U43" s="131">
        <v>1</v>
      </c>
      <c r="V43" s="131">
        <v>1</v>
      </c>
      <c r="W43" s="131"/>
      <c r="X43" s="131"/>
      <c r="Y43" s="131"/>
      <c r="Z43" s="131"/>
      <c r="AA43" s="131"/>
      <c r="AB43" s="131">
        <v>1</v>
      </c>
      <c r="AC43" s="131">
        <v>1</v>
      </c>
      <c r="AD43" s="131"/>
      <c r="AE43" s="133"/>
      <c r="AF43" s="693">
        <v>1</v>
      </c>
      <c r="AG43" s="131">
        <v>1</v>
      </c>
      <c r="AH43" s="131"/>
      <c r="AI43" s="131"/>
      <c r="AJ43" s="131">
        <v>1</v>
      </c>
      <c r="AK43" s="131">
        <v>1</v>
      </c>
      <c r="AL43" s="131"/>
      <c r="AM43" s="131"/>
      <c r="AN43" s="131"/>
      <c r="AO43" s="131"/>
      <c r="AP43" s="131"/>
      <c r="AQ43" s="131"/>
      <c r="AR43" s="131"/>
      <c r="AS43" s="131"/>
      <c r="AT43" s="131"/>
      <c r="AU43" s="131"/>
      <c r="AV43" s="131"/>
      <c r="AW43" s="131"/>
      <c r="AX43" s="131"/>
      <c r="AY43" s="131"/>
      <c r="AZ43" s="131"/>
      <c r="BA43" s="131"/>
      <c r="BB43" s="131"/>
      <c r="BC43" s="131">
        <v>1</v>
      </c>
      <c r="BD43" s="348">
        <v>1</v>
      </c>
      <c r="BE43" s="348"/>
      <c r="BF43" s="348"/>
      <c r="BG43" s="348"/>
      <c r="BH43" s="144"/>
      <c r="BI43" s="136">
        <v>1</v>
      </c>
      <c r="BJ43" s="136">
        <v>1</v>
      </c>
      <c r="BK43" s="349"/>
      <c r="BL43" s="349"/>
      <c r="BM43" s="349"/>
      <c r="BN43" s="349"/>
      <c r="BO43" s="349">
        <v>1</v>
      </c>
      <c r="BP43" s="145"/>
    </row>
    <row r="44" spans="1:68" s="44" customFormat="1" ht="60" customHeight="1" x14ac:dyDescent="0.25">
      <c r="A44" s="45">
        <v>83</v>
      </c>
      <c r="B44" s="127" t="s">
        <v>732</v>
      </c>
      <c r="C44" s="128" t="s">
        <v>106</v>
      </c>
      <c r="D44" s="128" t="s">
        <v>732</v>
      </c>
      <c r="E44" s="127">
        <v>5</v>
      </c>
      <c r="F44" s="32" t="s">
        <v>470</v>
      </c>
      <c r="G44" s="32" t="s">
        <v>60</v>
      </c>
      <c r="H44" s="122" t="s">
        <v>732</v>
      </c>
      <c r="I44" s="1019" t="s">
        <v>738</v>
      </c>
      <c r="J44" s="372">
        <f>Psychologia!M106</f>
        <v>100</v>
      </c>
      <c r="K44" s="373">
        <f>Psychologia!N106</f>
        <v>40</v>
      </c>
      <c r="L44" s="374">
        <f>Psychologia!O106</f>
        <v>60</v>
      </c>
      <c r="M44" s="856">
        <f>Psychologia!AB87+Psychologia!AD87+Psychologia!AY87+Psychologia!BA87</f>
        <v>0</v>
      </c>
      <c r="N44" s="376">
        <f>Psychologia!AA87+Psychologia!AX87</f>
        <v>160</v>
      </c>
      <c r="O44" s="377">
        <f>Psychologia!Q87</f>
        <v>6</v>
      </c>
      <c r="P44" s="378" t="s">
        <v>99</v>
      </c>
      <c r="Q44" s="389">
        <f>SUM(T44:AE44)</f>
        <v>4</v>
      </c>
      <c r="R44" s="390">
        <f t="shared" si="20"/>
        <v>6</v>
      </c>
      <c r="S44" s="394">
        <f>SUM(BH44:BP44)</f>
        <v>3</v>
      </c>
      <c r="T44" s="132"/>
      <c r="U44" s="131">
        <v>1</v>
      </c>
      <c r="V44" s="131"/>
      <c r="W44" s="131"/>
      <c r="X44" s="131">
        <v>1</v>
      </c>
      <c r="Y44" s="131">
        <v>1</v>
      </c>
      <c r="Z44" s="131"/>
      <c r="AA44" s="131"/>
      <c r="AB44" s="131">
        <v>1</v>
      </c>
      <c r="AC44" s="131"/>
      <c r="AD44" s="131"/>
      <c r="AE44" s="133"/>
      <c r="AF44" s="693">
        <v>1</v>
      </c>
      <c r="AG44" s="131">
        <v>1</v>
      </c>
      <c r="AH44" s="131"/>
      <c r="AI44" s="131"/>
      <c r="AJ44" s="131"/>
      <c r="AK44" s="131">
        <v>1</v>
      </c>
      <c r="AL44" s="131">
        <v>1</v>
      </c>
      <c r="AM44" s="131"/>
      <c r="AN44" s="131"/>
      <c r="AO44" s="131">
        <v>1</v>
      </c>
      <c r="AP44" s="131"/>
      <c r="AQ44" s="131"/>
      <c r="AR44" s="131"/>
      <c r="AS44" s="131"/>
      <c r="AT44" s="131"/>
      <c r="AU44" s="131"/>
      <c r="AV44" s="131"/>
      <c r="AW44" s="131"/>
      <c r="AX44" s="131"/>
      <c r="AY44" s="131"/>
      <c r="AZ44" s="131"/>
      <c r="BA44" s="131">
        <v>1</v>
      </c>
      <c r="BB44" s="131"/>
      <c r="BC44" s="131"/>
      <c r="BD44" s="348"/>
      <c r="BE44" s="348"/>
      <c r="BF44" s="348"/>
      <c r="BG44" s="348"/>
      <c r="BH44" s="144"/>
      <c r="BI44" s="136">
        <v>1</v>
      </c>
      <c r="BJ44" s="136">
        <v>1</v>
      </c>
      <c r="BK44" s="349"/>
      <c r="BL44" s="349"/>
      <c r="BM44" s="349"/>
      <c r="BN44" s="349"/>
      <c r="BO44" s="349">
        <v>1</v>
      </c>
      <c r="BP44" s="145"/>
    </row>
    <row r="45" spans="1:68" s="44" customFormat="1" ht="60" customHeight="1" x14ac:dyDescent="0.25">
      <c r="A45" s="45">
        <v>83</v>
      </c>
      <c r="B45" s="127" t="s">
        <v>732</v>
      </c>
      <c r="C45" s="128" t="s">
        <v>106</v>
      </c>
      <c r="D45" s="128" t="s">
        <v>732</v>
      </c>
      <c r="E45" s="127">
        <v>5</v>
      </c>
      <c r="F45" s="32" t="s">
        <v>470</v>
      </c>
      <c r="G45" s="32" t="s">
        <v>60</v>
      </c>
      <c r="H45" s="122" t="s">
        <v>732</v>
      </c>
      <c r="I45" s="1019" t="s">
        <v>737</v>
      </c>
      <c r="J45" s="372">
        <f>Psychologia!M106</f>
        <v>100</v>
      </c>
      <c r="K45" s="373">
        <f>Psychologia!N106</f>
        <v>40</v>
      </c>
      <c r="L45" s="374">
        <f>Psychologia!O106</f>
        <v>60</v>
      </c>
      <c r="M45" s="856">
        <f>Psychologia!AB87+Psychologia!AD87+Psychologia!AY87+Psychologia!BA87</f>
        <v>0</v>
      </c>
      <c r="N45" s="376">
        <f>Psychologia!AA87+Psychologia!AX87</f>
        <v>160</v>
      </c>
      <c r="O45" s="377">
        <f>Psychologia!Q87</f>
        <v>6</v>
      </c>
      <c r="P45" s="378" t="s">
        <v>99</v>
      </c>
      <c r="Q45" s="389">
        <f>SUM(T45:AE45)</f>
        <v>3</v>
      </c>
      <c r="R45" s="390">
        <f t="shared" si="20"/>
        <v>5</v>
      </c>
      <c r="S45" s="394">
        <f>SUM(BH45:BP45)</f>
        <v>1</v>
      </c>
      <c r="T45" s="132"/>
      <c r="U45" s="131"/>
      <c r="V45" s="131"/>
      <c r="W45" s="131"/>
      <c r="X45" s="131"/>
      <c r="Y45" s="131"/>
      <c r="Z45" s="131"/>
      <c r="AA45" s="131">
        <v>1</v>
      </c>
      <c r="AB45" s="131"/>
      <c r="AC45" s="131">
        <v>1</v>
      </c>
      <c r="AD45" s="131"/>
      <c r="AE45" s="133">
        <v>1</v>
      </c>
      <c r="AF45" s="693"/>
      <c r="AG45" s="131"/>
      <c r="AH45" s="131"/>
      <c r="AI45" s="131"/>
      <c r="AJ45" s="131">
        <v>1</v>
      </c>
      <c r="AK45" s="131">
        <v>1</v>
      </c>
      <c r="AL45" s="131">
        <v>1</v>
      </c>
      <c r="AM45" s="131"/>
      <c r="AN45" s="131"/>
      <c r="AO45" s="131"/>
      <c r="AP45" s="131">
        <v>1</v>
      </c>
      <c r="AQ45" s="131"/>
      <c r="AR45" s="131"/>
      <c r="AS45" s="131"/>
      <c r="AT45" s="131"/>
      <c r="AU45" s="131"/>
      <c r="AV45" s="131"/>
      <c r="AW45" s="131">
        <v>1</v>
      </c>
      <c r="AX45" s="131"/>
      <c r="AY45" s="131"/>
      <c r="AZ45" s="131"/>
      <c r="BA45" s="131"/>
      <c r="BB45" s="131"/>
      <c r="BC45" s="131"/>
      <c r="BD45" s="348"/>
      <c r="BE45" s="348"/>
      <c r="BF45" s="348"/>
      <c r="BG45" s="348"/>
      <c r="BH45" s="132"/>
      <c r="BI45" s="131"/>
      <c r="BJ45" s="131"/>
      <c r="BK45" s="348"/>
      <c r="BL45" s="348"/>
      <c r="BM45" s="348">
        <v>1</v>
      </c>
      <c r="BN45" s="348"/>
      <c r="BO45" s="348"/>
      <c r="BP45" s="133"/>
    </row>
    <row r="46" spans="1:68" s="44" customFormat="1" ht="60" customHeight="1" thickBot="1" x14ac:dyDescent="0.3">
      <c r="A46" s="398"/>
      <c r="B46" s="399"/>
      <c r="C46" s="400"/>
      <c r="D46" s="400"/>
      <c r="E46" s="399"/>
      <c r="F46" s="400"/>
      <c r="G46" s="400"/>
      <c r="H46" s="401"/>
      <c r="I46" s="402" t="str">
        <f>Psychologia!I122</f>
        <v>sumy dla 5 roku</v>
      </c>
      <c r="J46" s="395">
        <f>SUM(J43:J45)</f>
        <v>300</v>
      </c>
      <c r="K46" s="395">
        <f t="shared" ref="K46:O46" si="21">SUM(K43:K45)</f>
        <v>120</v>
      </c>
      <c r="L46" s="395">
        <f t="shared" si="21"/>
        <v>180</v>
      </c>
      <c r="M46" s="395">
        <f t="shared" si="21"/>
        <v>0</v>
      </c>
      <c r="N46" s="395">
        <f t="shared" si="21"/>
        <v>480</v>
      </c>
      <c r="O46" s="395">
        <f t="shared" si="21"/>
        <v>18</v>
      </c>
      <c r="P46" s="396"/>
      <c r="Q46" s="397">
        <f t="shared" ref="Q46:AN46" si="22">SUM(Q43:Q45)</f>
        <v>11</v>
      </c>
      <c r="R46" s="397">
        <f t="shared" si="22"/>
        <v>17</v>
      </c>
      <c r="S46" s="397">
        <f t="shared" si="22"/>
        <v>7</v>
      </c>
      <c r="T46" s="397">
        <f>SUM(T43:T45)</f>
        <v>0</v>
      </c>
      <c r="U46" s="397">
        <f t="shared" si="22"/>
        <v>2</v>
      </c>
      <c r="V46" s="397">
        <f t="shared" si="22"/>
        <v>1</v>
      </c>
      <c r="W46" s="397">
        <f t="shared" si="22"/>
        <v>0</v>
      </c>
      <c r="X46" s="397">
        <f t="shared" si="22"/>
        <v>1</v>
      </c>
      <c r="Y46" s="397">
        <f t="shared" si="22"/>
        <v>1</v>
      </c>
      <c r="Z46" s="397">
        <f t="shared" si="22"/>
        <v>0</v>
      </c>
      <c r="AA46" s="397">
        <f t="shared" si="22"/>
        <v>1</v>
      </c>
      <c r="AB46" s="397">
        <f t="shared" si="22"/>
        <v>2</v>
      </c>
      <c r="AC46" s="397">
        <f t="shared" si="22"/>
        <v>2</v>
      </c>
      <c r="AD46" s="397">
        <f t="shared" si="22"/>
        <v>0</v>
      </c>
      <c r="AE46" s="620">
        <f t="shared" si="22"/>
        <v>1</v>
      </c>
      <c r="AF46" s="397">
        <f t="shared" si="22"/>
        <v>2</v>
      </c>
      <c r="AG46" s="397">
        <f t="shared" si="22"/>
        <v>2</v>
      </c>
      <c r="AH46" s="397">
        <f t="shared" si="22"/>
        <v>0</v>
      </c>
      <c r="AI46" s="397">
        <f t="shared" si="22"/>
        <v>0</v>
      </c>
      <c r="AJ46" s="397">
        <f t="shared" si="22"/>
        <v>2</v>
      </c>
      <c r="AK46" s="397">
        <f t="shared" si="22"/>
        <v>3</v>
      </c>
      <c r="AL46" s="397">
        <f t="shared" si="22"/>
        <v>2</v>
      </c>
      <c r="AM46" s="397">
        <f t="shared" si="22"/>
        <v>0</v>
      </c>
      <c r="AN46" s="397">
        <f t="shared" si="22"/>
        <v>0</v>
      </c>
      <c r="AO46" s="397">
        <f t="shared" ref="AO46:BP46" si="23">SUM(AO43:AO45)</f>
        <v>1</v>
      </c>
      <c r="AP46" s="397">
        <f t="shared" si="23"/>
        <v>1</v>
      </c>
      <c r="AQ46" s="397">
        <f t="shared" si="23"/>
        <v>0</v>
      </c>
      <c r="AR46" s="397">
        <f t="shared" si="23"/>
        <v>0</v>
      </c>
      <c r="AS46" s="397">
        <f t="shared" si="23"/>
        <v>0</v>
      </c>
      <c r="AT46" s="397">
        <f t="shared" si="23"/>
        <v>0</v>
      </c>
      <c r="AU46" s="397">
        <f t="shared" si="23"/>
        <v>0</v>
      </c>
      <c r="AV46" s="397">
        <f t="shared" si="23"/>
        <v>0</v>
      </c>
      <c r="AW46" s="397">
        <f t="shared" si="23"/>
        <v>1</v>
      </c>
      <c r="AX46" s="397">
        <f t="shared" si="23"/>
        <v>0</v>
      </c>
      <c r="AY46" s="397">
        <f t="shared" si="23"/>
        <v>0</v>
      </c>
      <c r="AZ46" s="397">
        <f t="shared" si="23"/>
        <v>0</v>
      </c>
      <c r="BA46" s="397">
        <f t="shared" si="23"/>
        <v>1</v>
      </c>
      <c r="BB46" s="397">
        <f t="shared" si="23"/>
        <v>0</v>
      </c>
      <c r="BC46" s="397">
        <f t="shared" si="23"/>
        <v>1</v>
      </c>
      <c r="BD46" s="397">
        <f t="shared" ref="BD46:BF46" si="24">SUM(BD43:BD45)</f>
        <v>1</v>
      </c>
      <c r="BE46" s="397">
        <f t="shared" si="24"/>
        <v>0</v>
      </c>
      <c r="BF46" s="397">
        <f t="shared" si="24"/>
        <v>0</v>
      </c>
      <c r="BG46" s="614">
        <f t="shared" si="23"/>
        <v>0</v>
      </c>
      <c r="BH46" s="398">
        <f t="shared" si="23"/>
        <v>0</v>
      </c>
      <c r="BI46" s="397">
        <f t="shared" si="23"/>
        <v>2</v>
      </c>
      <c r="BJ46" s="397">
        <f t="shared" si="23"/>
        <v>2</v>
      </c>
      <c r="BK46" s="397">
        <f t="shared" si="23"/>
        <v>0</v>
      </c>
      <c r="BL46" s="397">
        <f t="shared" si="23"/>
        <v>0</v>
      </c>
      <c r="BM46" s="397">
        <f t="shared" si="23"/>
        <v>1</v>
      </c>
      <c r="BN46" s="397">
        <f t="shared" si="23"/>
        <v>0</v>
      </c>
      <c r="BO46" s="397">
        <f t="shared" si="23"/>
        <v>2</v>
      </c>
      <c r="BP46" s="620">
        <f t="shared" si="23"/>
        <v>0</v>
      </c>
    </row>
    <row r="47" spans="1:68" s="21" customFormat="1" ht="60" customHeight="1" thickBot="1" x14ac:dyDescent="0.3">
      <c r="A47" s="137"/>
      <c r="B47" s="138"/>
      <c r="C47" s="138"/>
      <c r="D47" s="138"/>
      <c r="E47" s="138"/>
      <c r="F47" s="138"/>
      <c r="G47" s="138"/>
      <c r="H47" s="139"/>
      <c r="I47" s="157" t="s">
        <v>21</v>
      </c>
      <c r="J47" s="143">
        <f t="shared" ref="J47:S47" si="25">SUM(J20:J23,J27:J28,J30:J33,J35:J41,J43:J45)</f>
        <v>1300</v>
      </c>
      <c r="K47" s="143">
        <f t="shared" si="25"/>
        <v>360</v>
      </c>
      <c r="L47" s="143">
        <f t="shared" si="25"/>
        <v>940</v>
      </c>
      <c r="M47" s="143">
        <f t="shared" si="25"/>
        <v>130</v>
      </c>
      <c r="N47" s="143">
        <f t="shared" si="25"/>
        <v>1240</v>
      </c>
      <c r="O47" s="143">
        <f t="shared" si="25"/>
        <v>58</v>
      </c>
      <c r="P47" s="143">
        <f t="shared" si="25"/>
        <v>0</v>
      </c>
      <c r="Q47" s="143">
        <f t="shared" si="25"/>
        <v>36</v>
      </c>
      <c r="R47" s="143">
        <f t="shared" si="25"/>
        <v>81</v>
      </c>
      <c r="S47" s="143">
        <f t="shared" si="25"/>
        <v>44</v>
      </c>
      <c r="T47" s="143">
        <f>SUM(T20:T23,T25:T28,T30:T33,T35:T41,T43:T45)</f>
        <v>3</v>
      </c>
      <c r="U47" s="143">
        <f t="shared" ref="U47:BP47" si="26">SUM(U20:U23,U25:U28,U30:U33,U35:U41,U43:U45)</f>
        <v>2</v>
      </c>
      <c r="V47" s="143">
        <f t="shared" si="26"/>
        <v>5</v>
      </c>
      <c r="W47" s="143">
        <f t="shared" si="26"/>
        <v>1</v>
      </c>
      <c r="X47" s="143">
        <f t="shared" si="26"/>
        <v>7</v>
      </c>
      <c r="Y47" s="143">
        <f t="shared" si="26"/>
        <v>1</v>
      </c>
      <c r="Z47" s="143">
        <f t="shared" si="26"/>
        <v>1</v>
      </c>
      <c r="AA47" s="143">
        <f t="shared" si="26"/>
        <v>1</v>
      </c>
      <c r="AB47" s="143">
        <f t="shared" si="26"/>
        <v>3</v>
      </c>
      <c r="AC47" s="143">
        <f t="shared" si="26"/>
        <v>5</v>
      </c>
      <c r="AD47" s="143">
        <f t="shared" si="26"/>
        <v>4</v>
      </c>
      <c r="AE47" s="143">
        <f t="shared" si="26"/>
        <v>3</v>
      </c>
      <c r="AF47" s="143">
        <f t="shared" si="26"/>
        <v>6</v>
      </c>
      <c r="AG47" s="143">
        <f t="shared" si="26"/>
        <v>4</v>
      </c>
      <c r="AH47" s="143">
        <f t="shared" si="26"/>
        <v>1</v>
      </c>
      <c r="AI47" s="143">
        <f t="shared" si="26"/>
        <v>2</v>
      </c>
      <c r="AJ47" s="143">
        <f t="shared" si="26"/>
        <v>8</v>
      </c>
      <c r="AK47" s="143">
        <f t="shared" si="26"/>
        <v>10</v>
      </c>
      <c r="AL47" s="143">
        <f t="shared" si="26"/>
        <v>6</v>
      </c>
      <c r="AM47" s="143">
        <f t="shared" si="26"/>
        <v>2</v>
      </c>
      <c r="AN47" s="143">
        <f t="shared" si="26"/>
        <v>6</v>
      </c>
      <c r="AO47" s="143">
        <f t="shared" si="26"/>
        <v>2</v>
      </c>
      <c r="AP47" s="143">
        <f t="shared" si="26"/>
        <v>9</v>
      </c>
      <c r="AQ47" s="143">
        <f t="shared" si="26"/>
        <v>0</v>
      </c>
      <c r="AR47" s="143">
        <f t="shared" si="26"/>
        <v>4</v>
      </c>
      <c r="AS47" s="143">
        <f t="shared" si="26"/>
        <v>2</v>
      </c>
      <c r="AT47" s="143">
        <f t="shared" si="26"/>
        <v>2</v>
      </c>
      <c r="AU47" s="143">
        <f t="shared" si="26"/>
        <v>1</v>
      </c>
      <c r="AV47" s="143">
        <f t="shared" si="26"/>
        <v>1</v>
      </c>
      <c r="AW47" s="143">
        <f t="shared" si="26"/>
        <v>4</v>
      </c>
      <c r="AX47" s="143">
        <f t="shared" si="26"/>
        <v>2</v>
      </c>
      <c r="AY47" s="143">
        <f t="shared" si="26"/>
        <v>2</v>
      </c>
      <c r="AZ47" s="143">
        <f t="shared" si="26"/>
        <v>2</v>
      </c>
      <c r="BA47" s="143">
        <f t="shared" si="26"/>
        <v>4</v>
      </c>
      <c r="BB47" s="143">
        <f t="shared" si="26"/>
        <v>1</v>
      </c>
      <c r="BC47" s="143">
        <f t="shared" si="26"/>
        <v>1</v>
      </c>
      <c r="BD47" s="143">
        <f t="shared" si="26"/>
        <v>3</v>
      </c>
      <c r="BE47" s="143">
        <f t="shared" si="26"/>
        <v>1</v>
      </c>
      <c r="BF47" s="143">
        <f t="shared" si="26"/>
        <v>2</v>
      </c>
      <c r="BG47" s="143">
        <f t="shared" si="26"/>
        <v>1</v>
      </c>
      <c r="BH47" s="143">
        <f t="shared" si="26"/>
        <v>4</v>
      </c>
      <c r="BI47" s="143">
        <f t="shared" si="26"/>
        <v>6</v>
      </c>
      <c r="BJ47" s="143">
        <f t="shared" si="26"/>
        <v>9</v>
      </c>
      <c r="BK47" s="143">
        <f t="shared" si="26"/>
        <v>5</v>
      </c>
      <c r="BL47" s="143">
        <f t="shared" si="26"/>
        <v>1</v>
      </c>
      <c r="BM47" s="143">
        <f t="shared" si="26"/>
        <v>5</v>
      </c>
      <c r="BN47" s="143">
        <f t="shared" si="26"/>
        <v>4</v>
      </c>
      <c r="BO47" s="143">
        <f t="shared" si="26"/>
        <v>8</v>
      </c>
      <c r="BP47" s="143">
        <f t="shared" si="26"/>
        <v>4</v>
      </c>
    </row>
    <row r="48" spans="1:68" x14ac:dyDescent="0.25">
      <c r="I48" s="91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</row>
    <row r="49" spans="9:59" x14ac:dyDescent="0.25">
      <c r="I49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</row>
    <row r="50" spans="9:59" x14ac:dyDescent="0.25">
      <c r="I50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</row>
    <row r="51" spans="9:59" x14ac:dyDescent="0.25"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</row>
    <row r="52" spans="9:59" x14ac:dyDescent="0.25"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</row>
    <row r="53" spans="9:59" x14ac:dyDescent="0.25"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</row>
    <row r="54" spans="9:59" x14ac:dyDescent="0.25"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</row>
    <row r="55" spans="9:59" x14ac:dyDescent="0.25"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</row>
    <row r="63" spans="9:59" ht="37.5" x14ac:dyDescent="0.25">
      <c r="I63" s="1019" t="s">
        <v>733</v>
      </c>
    </row>
  </sheetData>
  <mergeCells count="27">
    <mergeCell ref="BQ18:CC18"/>
    <mergeCell ref="Q18:Q19"/>
    <mergeCell ref="R18:R19"/>
    <mergeCell ref="S18:S19"/>
    <mergeCell ref="T18:AE18"/>
    <mergeCell ref="AF18:BG18"/>
    <mergeCell ref="BH18:BP18"/>
    <mergeCell ref="J16:P16"/>
    <mergeCell ref="Q16:S17"/>
    <mergeCell ref="J17:N17"/>
    <mergeCell ref="O17:O19"/>
    <mergeCell ref="P17:P19"/>
    <mergeCell ref="J18:J19"/>
    <mergeCell ref="K18:K19"/>
    <mergeCell ref="L18:L19"/>
    <mergeCell ref="M18:M19"/>
    <mergeCell ref="N18:N19"/>
    <mergeCell ref="G2:I2"/>
    <mergeCell ref="A16:A18"/>
    <mergeCell ref="B16:B18"/>
    <mergeCell ref="C16:C18"/>
    <mergeCell ref="D16:D18"/>
    <mergeCell ref="E16:E18"/>
    <mergeCell ref="F16:F18"/>
    <mergeCell ref="G16:G18"/>
    <mergeCell ref="H16:H18"/>
    <mergeCell ref="I16:I18"/>
  </mergeCells>
  <phoneticPr fontId="10" type="noConversion"/>
  <conditionalFormatting sqref="O20:O23">
    <cfRule type="colorScale" priority="817">
      <colorScale>
        <cfvo type="num" val="&quot;*,*&quot;"/>
        <cfvo type="max"/>
        <color rgb="FFFF7128"/>
        <color rgb="FFFFEF9C"/>
      </colorScale>
    </cfRule>
  </conditionalFormatting>
  <conditionalFormatting sqref="O25">
    <cfRule type="colorScale" priority="6">
      <colorScale>
        <cfvo type="num" val="&quot;*,*&quot;"/>
        <cfvo type="max"/>
        <color rgb="FFFF7128"/>
        <color rgb="FFFFEF9C"/>
      </colorScale>
    </cfRule>
  </conditionalFormatting>
  <conditionalFormatting sqref="O25:O28">
    <cfRule type="containsText" dxfId="29" priority="2" operator="containsText" text=",">
      <formula>NOT(ISERROR(SEARCH(",",O25)))</formula>
    </cfRule>
  </conditionalFormatting>
  <conditionalFormatting sqref="O26:O28">
    <cfRule type="colorScale" priority="3">
      <colorScale>
        <cfvo type="num" val="&quot;*,*&quot;"/>
        <cfvo type="max"/>
        <color rgb="FFFF7128"/>
        <color rgb="FFFFEF9C"/>
      </colorScale>
    </cfRule>
  </conditionalFormatting>
  <conditionalFormatting sqref="O30">
    <cfRule type="colorScale" priority="650">
      <colorScale>
        <cfvo type="num" val="&quot;*,*&quot;"/>
        <cfvo type="max"/>
        <color rgb="FFFF7128"/>
        <color rgb="FFFFEF9C"/>
      </colorScale>
    </cfRule>
  </conditionalFormatting>
  <conditionalFormatting sqref="O30:O33">
    <cfRule type="containsText" dxfId="28" priority="16" operator="containsText" text=",">
      <formula>NOT(ISERROR(SEARCH(",",O30)))</formula>
    </cfRule>
  </conditionalFormatting>
  <conditionalFormatting sqref="O31:O33">
    <cfRule type="colorScale" priority="17">
      <colorScale>
        <cfvo type="num" val="&quot;*,*&quot;"/>
        <cfvo type="max"/>
        <color rgb="FFFF7128"/>
        <color rgb="FFFFEF9C"/>
      </colorScale>
    </cfRule>
  </conditionalFormatting>
  <conditionalFormatting sqref="O35:O41">
    <cfRule type="containsText" dxfId="27" priority="656" operator="containsText" text=",">
      <formula>NOT(ISERROR(SEARCH(",",O35)))</formula>
    </cfRule>
    <cfRule type="colorScale" priority="657">
      <colorScale>
        <cfvo type="num" val="&quot;*,*&quot;"/>
        <cfvo type="max"/>
        <color rgb="FFFF7128"/>
        <color rgb="FFFFEF9C"/>
      </colorScale>
    </cfRule>
  </conditionalFormatting>
  <conditionalFormatting sqref="O43:O45">
    <cfRule type="containsText" dxfId="26" priority="671" operator="containsText" text=",">
      <formula>NOT(ISERROR(SEARCH(",",O43)))</formula>
    </cfRule>
    <cfRule type="colorScale" priority="672">
      <colorScale>
        <cfvo type="num" val="&quot;*,*&quot;"/>
        <cfvo type="max"/>
        <color rgb="FFFF7128"/>
        <color rgb="FFFFEF9C"/>
      </colorScale>
    </cfRule>
  </conditionalFormatting>
  <conditionalFormatting sqref="O20:P23">
    <cfRule type="containsText" dxfId="25" priority="7" operator="containsText" text=",">
      <formula>NOT(ISERROR(SEARCH(",",O20)))</formula>
    </cfRule>
  </conditionalFormatting>
  <conditionalFormatting sqref="P20:P23">
    <cfRule type="colorScale" priority="8">
      <colorScale>
        <cfvo type="num" val="&quot;*,*&quot;"/>
        <cfvo type="max"/>
        <color rgb="FFFF7128"/>
        <color rgb="FFFFEF9C"/>
      </colorScale>
    </cfRule>
  </conditionalFormatting>
  <conditionalFormatting sqref="T20:AE23 T30:AE33 T35:AE41 T43:AE45">
    <cfRule type="cellIs" dxfId="24" priority="64" operator="equal">
      <formula>1</formula>
    </cfRule>
  </conditionalFormatting>
  <conditionalFormatting sqref="T25:AE28">
    <cfRule type="cellIs" dxfId="23" priority="5" operator="equal">
      <formula>1</formula>
    </cfRule>
  </conditionalFormatting>
  <conditionalFormatting sqref="AF36:AO36 AQ36:BG36">
    <cfRule type="cellIs" dxfId="22" priority="12" operator="equal">
      <formula>1</formula>
    </cfRule>
  </conditionalFormatting>
  <conditionalFormatting sqref="AF20:BG23 AG39:BG39">
    <cfRule type="cellIs" dxfId="21" priority="25" operator="equal">
      <formula>1</formula>
    </cfRule>
  </conditionalFormatting>
  <conditionalFormatting sqref="AF25:BG28">
    <cfRule type="cellIs" dxfId="20" priority="1" operator="equal">
      <formula>1</formula>
    </cfRule>
  </conditionalFormatting>
  <conditionalFormatting sqref="AF30:BG33">
    <cfRule type="cellIs" dxfId="19" priority="13" operator="equal">
      <formula>1</formula>
    </cfRule>
  </conditionalFormatting>
  <conditionalFormatting sqref="AF35:BG35 AF43:BG45">
    <cfRule type="cellIs" dxfId="18" priority="62" operator="equal">
      <formula>1</formula>
    </cfRule>
  </conditionalFormatting>
  <conditionalFormatting sqref="AF37:BG38">
    <cfRule type="cellIs" dxfId="17" priority="9" operator="equal">
      <formula>1</formula>
    </cfRule>
  </conditionalFormatting>
  <conditionalFormatting sqref="AF40:BG41">
    <cfRule type="cellIs" dxfId="16" priority="11" operator="equal">
      <formula>1</formula>
    </cfRule>
  </conditionalFormatting>
  <conditionalFormatting sqref="BH20:BP23 BH30:BL30 BN30:BP30 BH31:BP33 BH35:BN35 BP35 BH36:BP41 BH43:BP45">
    <cfRule type="cellIs" dxfId="15" priority="63" operator="equal">
      <formula>1</formula>
    </cfRule>
  </conditionalFormatting>
  <conditionalFormatting sqref="BH25:BP28">
    <cfRule type="cellIs" dxfId="14" priority="4" operator="equal">
      <formula>1</formula>
    </cfRule>
  </conditionalFormatting>
  <dataValidations xWindow="1485" yWindow="579" count="3">
    <dataValidation allowBlank="1" showInputMessage="1" showErrorMessage="1" errorTitle="WARTOŚĆ NIEPRAWIDŁOWA" error="Suma ECTS musi być liczbą całkowitą" promptTitle="suma ECTS" prompt="Suma ECTS musi być liczbą całkowitą" sqref="O43:O45 O25:O33 O20:P23 O35:O41" xr:uid="{33498BA6-9710-4860-9F85-CD6FA0E81BBB}"/>
    <dataValidation allowBlank="1" showInputMessage="1" showErrorMessage="1" errorTitle="Wartość nieprawidłowa" error="Proszę wybrać formę zakończenia przedmiotu z listy" promptTitle="Forma zakończenia przedmiotu" prompt="Proszę wybrać formę zakończenia przedmiotu z listy" sqref="P25:P33 P43:P45 P35:P41" xr:uid="{D75FB05D-11D0-49E1-9963-E557C44E180A}"/>
    <dataValidation type="custom" allowBlank="1" showInputMessage="1" showErrorMessage="1" errorTitle="Wartość nieprawidłowa" error="Jeśli efekt jest realizowany- proszę wprowadzić cyfrę 1" promptTitle="Wybór efektu" prompt="Jeśli efekt jest realizowany- proszę wprowadzić cyfrę 1" sqref="T20:BP23 T25:BP28 AF37:BG38 BP35 BN30:BP30 T35:BN35 T31:BP33 T30:BL30 T36:AE41 BH36:BP41 AF36:AO36 AQ36:BG36 AG39:BG39 AF40:BG41 T43:BP45" xr:uid="{1E8777D9-D517-4C9D-9C8D-87A2C00BCEF2}">
      <formula1>1</formula1>
    </dataValidation>
  </dataValidations>
  <pageMargins left="0.7" right="0.7" top="0.75" bottom="0.75" header="0.3" footer="0.3"/>
  <pageSetup paperSize="8" scale="36" orientation="landscape" horizontalDpi="300" verticalDpi="3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1485" yWindow="579" count="3">
        <x14:dataValidation type="list" allowBlank="1" showInputMessage="1" showErrorMessage="1" errorTitle="Wartość nieprawidłowa" error="Proszę wybrać z listy pule godzin" promptTitle="Pula godzin" prompt="Proszę wybrać z listy pule godzin" xr:uid="{6A42D444-1366-4B51-95EB-66F663BD1251}">
          <x14:formula1>
            <xm:f>Słowniki!$J$2:$J$3</xm:f>
          </x14:formula1>
          <xm:sqref>H41</xm:sqref>
        </x14:dataValidation>
        <x14:dataValidation type="list" allowBlank="1" showInputMessage="1" showErrorMessage="1" errorTitle="Wartość nieprawidłowa" error="Proszę wybrać z listy rodzaj zajęć" promptTitle="Rodzaj zajęć" prompt="Proszę wybrać z listy rodzaj zajęć" xr:uid="{3F0DDAE1-F0E1-4E50-AD73-62C4D50012D6}">
          <x14:formula1>
            <xm:f>Słowniki!$D$2:$D$4</xm:f>
          </x14:formula1>
          <xm:sqref>G41</xm:sqref>
        </x14:dataValidation>
        <x14:dataValidation type="list" allowBlank="1" showInputMessage="1" showErrorMessage="1" errorTitle="Wartość nieprawidłowa" error="Proszę wybrać z listy kod grupy" promptTitle="Kod grupy zajęć" prompt="Proszę wybrać z listy kod grupy" xr:uid="{FFF8FBF6-0FC7-46D5-98A6-D6B9EDF0F57D}">
          <x14:formula1>
            <xm:f>Słowniki!$A$2:$A$10</xm:f>
          </x14:formula1>
          <xm:sqref>B41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C212C-B84B-427B-ADFF-4EC3BD5DBB73}">
  <sheetPr codeName="Arkusz8"/>
  <dimension ref="A1:B139"/>
  <sheetViews>
    <sheetView topLeftCell="A121" workbookViewId="0">
      <selection activeCell="B144" sqref="B144"/>
    </sheetView>
  </sheetViews>
  <sheetFormatPr defaultColWidth="8.85546875" defaultRowHeight="15" x14ac:dyDescent="0.25"/>
  <cols>
    <col min="1" max="1" width="19.42578125" customWidth="1"/>
    <col min="2" max="2" width="96" style="4" customWidth="1"/>
  </cols>
  <sheetData>
    <row r="1" spans="1:2" ht="30" x14ac:dyDescent="0.25">
      <c r="A1" s="175" t="s">
        <v>409</v>
      </c>
      <c r="B1" s="176" t="s">
        <v>410</v>
      </c>
    </row>
    <row r="2" spans="1:2" x14ac:dyDescent="0.25">
      <c r="A2" s="166"/>
      <c r="B2" s="171" t="s">
        <v>411</v>
      </c>
    </row>
    <row r="3" spans="1:2" x14ac:dyDescent="0.25">
      <c r="A3" s="167" t="s">
        <v>139</v>
      </c>
      <c r="B3" s="172" t="s">
        <v>140</v>
      </c>
    </row>
    <row r="4" spans="1:2" x14ac:dyDescent="0.25">
      <c r="A4" s="167" t="s">
        <v>141</v>
      </c>
      <c r="B4" s="172" t="s">
        <v>142</v>
      </c>
    </row>
    <row r="5" spans="1:2" x14ac:dyDescent="0.25">
      <c r="A5" s="167" t="s">
        <v>143</v>
      </c>
      <c r="B5" s="172" t="s">
        <v>144</v>
      </c>
    </row>
    <row r="6" spans="1:2" x14ac:dyDescent="0.25">
      <c r="A6" s="167" t="s">
        <v>145</v>
      </c>
      <c r="B6" s="172" t="s">
        <v>146</v>
      </c>
    </row>
    <row r="7" spans="1:2" x14ac:dyDescent="0.25">
      <c r="A7" s="167" t="s">
        <v>147</v>
      </c>
      <c r="B7" s="172" t="s">
        <v>148</v>
      </c>
    </row>
    <row r="8" spans="1:2" x14ac:dyDescent="0.25">
      <c r="A8" s="167" t="s">
        <v>149</v>
      </c>
      <c r="B8" s="172" t="s">
        <v>150</v>
      </c>
    </row>
    <row r="9" spans="1:2" x14ac:dyDescent="0.25">
      <c r="A9" s="167" t="s">
        <v>151</v>
      </c>
      <c r="B9" s="172" t="s">
        <v>152</v>
      </c>
    </row>
    <row r="10" spans="1:2" ht="30" x14ac:dyDescent="0.25">
      <c r="A10" s="167" t="s">
        <v>153</v>
      </c>
      <c r="B10" s="172" t="s">
        <v>154</v>
      </c>
    </row>
    <row r="11" spans="1:2" x14ac:dyDescent="0.25">
      <c r="A11" s="167" t="s">
        <v>155</v>
      </c>
      <c r="B11" s="172" t="s">
        <v>156</v>
      </c>
    </row>
    <row r="12" spans="1:2" ht="30" x14ac:dyDescent="0.25">
      <c r="A12" s="167" t="s">
        <v>157</v>
      </c>
      <c r="B12" s="172" t="s">
        <v>158</v>
      </c>
    </row>
    <row r="13" spans="1:2" x14ac:dyDescent="0.25">
      <c r="A13" s="167" t="s">
        <v>159</v>
      </c>
      <c r="B13" s="172" t="s">
        <v>160</v>
      </c>
    </row>
    <row r="14" spans="1:2" x14ac:dyDescent="0.25">
      <c r="A14" s="167" t="s">
        <v>161</v>
      </c>
      <c r="B14" s="172" t="s">
        <v>162</v>
      </c>
    </row>
    <row r="15" spans="1:2" ht="30" x14ac:dyDescent="0.25">
      <c r="A15" s="167" t="s">
        <v>163</v>
      </c>
      <c r="B15" s="172" t="s">
        <v>164</v>
      </c>
    </row>
    <row r="16" spans="1:2" ht="30" x14ac:dyDescent="0.25">
      <c r="A16" s="167" t="s">
        <v>165</v>
      </c>
      <c r="B16" s="172" t="s">
        <v>166</v>
      </c>
    </row>
    <row r="17" spans="1:2" x14ac:dyDescent="0.25">
      <c r="A17" s="167" t="s">
        <v>167</v>
      </c>
      <c r="B17" s="172" t="s">
        <v>168</v>
      </c>
    </row>
    <row r="18" spans="1:2" x14ac:dyDescent="0.25">
      <c r="A18" s="167" t="s">
        <v>169</v>
      </c>
      <c r="B18" s="172" t="s">
        <v>170</v>
      </c>
    </row>
    <row r="19" spans="1:2" x14ac:dyDescent="0.25">
      <c r="A19" s="167" t="s">
        <v>171</v>
      </c>
      <c r="B19" s="172" t="s">
        <v>172</v>
      </c>
    </row>
    <row r="20" spans="1:2" ht="30" x14ac:dyDescent="0.25">
      <c r="A20" s="167" t="s">
        <v>173</v>
      </c>
      <c r="B20" s="172" t="s">
        <v>174</v>
      </c>
    </row>
    <row r="21" spans="1:2" x14ac:dyDescent="0.25">
      <c r="A21" s="167" t="s">
        <v>175</v>
      </c>
      <c r="B21" s="172" t="s">
        <v>176</v>
      </c>
    </row>
    <row r="22" spans="1:2" x14ac:dyDescent="0.25">
      <c r="A22" s="167" t="s">
        <v>177</v>
      </c>
      <c r="B22" s="172" t="s">
        <v>178</v>
      </c>
    </row>
    <row r="23" spans="1:2" x14ac:dyDescent="0.25">
      <c r="A23" s="167" t="s">
        <v>179</v>
      </c>
      <c r="B23" s="172" t="s">
        <v>180</v>
      </c>
    </row>
    <row r="24" spans="1:2" x14ac:dyDescent="0.25">
      <c r="A24" s="167" t="s">
        <v>181</v>
      </c>
      <c r="B24" s="172" t="s">
        <v>182</v>
      </c>
    </row>
    <row r="25" spans="1:2" x14ac:dyDescent="0.25">
      <c r="A25" s="167" t="s">
        <v>183</v>
      </c>
      <c r="B25" s="172" t="s">
        <v>184</v>
      </c>
    </row>
    <row r="26" spans="1:2" ht="30" x14ac:dyDescent="0.25">
      <c r="A26" s="167" t="s">
        <v>185</v>
      </c>
      <c r="B26" s="172" t="s">
        <v>186</v>
      </c>
    </row>
    <row r="27" spans="1:2" ht="30" x14ac:dyDescent="0.25">
      <c r="A27" s="167" t="s">
        <v>187</v>
      </c>
      <c r="B27" s="172" t="s">
        <v>188</v>
      </c>
    </row>
    <row r="28" spans="1:2" x14ac:dyDescent="0.25">
      <c r="A28" s="167" t="s">
        <v>189</v>
      </c>
      <c r="B28" s="172" t="s">
        <v>190</v>
      </c>
    </row>
    <row r="29" spans="1:2" ht="30" x14ac:dyDescent="0.25">
      <c r="A29" s="167" t="s">
        <v>191</v>
      </c>
      <c r="B29" s="172" t="s">
        <v>192</v>
      </c>
    </row>
    <row r="30" spans="1:2" x14ac:dyDescent="0.25">
      <c r="A30" s="167" t="s">
        <v>193</v>
      </c>
      <c r="B30" s="172" t="s">
        <v>194</v>
      </c>
    </row>
    <row r="31" spans="1:2" x14ac:dyDescent="0.25">
      <c r="A31" s="167" t="s">
        <v>195</v>
      </c>
      <c r="B31" s="172" t="s">
        <v>196</v>
      </c>
    </row>
    <row r="32" spans="1:2" x14ac:dyDescent="0.25">
      <c r="A32" s="167" t="s">
        <v>197</v>
      </c>
      <c r="B32" s="172" t="s">
        <v>198</v>
      </c>
    </row>
    <row r="33" spans="1:2" x14ac:dyDescent="0.25">
      <c r="A33" s="167" t="s">
        <v>199</v>
      </c>
      <c r="B33" s="172" t="s">
        <v>200</v>
      </c>
    </row>
    <row r="34" spans="1:2" x14ac:dyDescent="0.25">
      <c r="A34" s="167" t="s">
        <v>201</v>
      </c>
      <c r="B34" s="172" t="s">
        <v>202</v>
      </c>
    </row>
    <row r="35" spans="1:2" x14ac:dyDescent="0.25">
      <c r="A35" s="167" t="s">
        <v>203</v>
      </c>
      <c r="B35" s="172" t="s">
        <v>204</v>
      </c>
    </row>
    <row r="36" spans="1:2" x14ac:dyDescent="0.25">
      <c r="A36" s="167" t="s">
        <v>205</v>
      </c>
      <c r="B36" s="172" t="s">
        <v>206</v>
      </c>
    </row>
    <row r="37" spans="1:2" ht="30" x14ac:dyDescent="0.25">
      <c r="A37" s="167" t="s">
        <v>207</v>
      </c>
      <c r="B37" s="172" t="s">
        <v>208</v>
      </c>
    </row>
    <row r="38" spans="1:2" x14ac:dyDescent="0.25">
      <c r="A38" s="167" t="s">
        <v>209</v>
      </c>
      <c r="B38" s="172" t="s">
        <v>210</v>
      </c>
    </row>
    <row r="39" spans="1:2" x14ac:dyDescent="0.25">
      <c r="A39" s="167" t="s">
        <v>211</v>
      </c>
      <c r="B39" s="172" t="s">
        <v>212</v>
      </c>
    </row>
    <row r="40" spans="1:2" x14ac:dyDescent="0.25">
      <c r="A40" s="167" t="s">
        <v>213</v>
      </c>
      <c r="B40" s="172" t="s">
        <v>214</v>
      </c>
    </row>
    <row r="41" spans="1:2" x14ac:dyDescent="0.25">
      <c r="A41" s="167" t="s">
        <v>215</v>
      </c>
      <c r="B41" s="172" t="s">
        <v>216</v>
      </c>
    </row>
    <row r="42" spans="1:2" x14ac:dyDescent="0.25">
      <c r="A42" s="167" t="s">
        <v>217</v>
      </c>
      <c r="B42" s="172" t="s">
        <v>218</v>
      </c>
    </row>
    <row r="43" spans="1:2" ht="30" x14ac:dyDescent="0.25">
      <c r="A43" s="167" t="s">
        <v>219</v>
      </c>
      <c r="B43" s="172" t="s">
        <v>220</v>
      </c>
    </row>
    <row r="44" spans="1:2" x14ac:dyDescent="0.25">
      <c r="A44" s="167" t="s">
        <v>221</v>
      </c>
      <c r="B44" s="172" t="s">
        <v>222</v>
      </c>
    </row>
    <row r="45" spans="1:2" x14ac:dyDescent="0.25">
      <c r="A45" s="167" t="s">
        <v>223</v>
      </c>
      <c r="B45" s="172" t="s">
        <v>224</v>
      </c>
    </row>
    <row r="46" spans="1:2" x14ac:dyDescent="0.25">
      <c r="A46" s="167" t="s">
        <v>225</v>
      </c>
      <c r="B46" s="172" t="s">
        <v>226</v>
      </c>
    </row>
    <row r="47" spans="1:2" ht="30" x14ac:dyDescent="0.25">
      <c r="A47" s="167" t="s">
        <v>227</v>
      </c>
      <c r="B47" s="172" t="s">
        <v>228</v>
      </c>
    </row>
    <row r="48" spans="1:2" ht="30" x14ac:dyDescent="0.25">
      <c r="A48" s="167" t="s">
        <v>229</v>
      </c>
      <c r="B48" s="172" t="s">
        <v>230</v>
      </c>
    </row>
    <row r="49" spans="1:2" ht="30" x14ac:dyDescent="0.25">
      <c r="A49" s="167" t="s">
        <v>231</v>
      </c>
      <c r="B49" s="172" t="s">
        <v>232</v>
      </c>
    </row>
    <row r="50" spans="1:2" x14ac:dyDescent="0.25">
      <c r="A50" s="167" t="s">
        <v>233</v>
      </c>
      <c r="B50" s="172" t="s">
        <v>234</v>
      </c>
    </row>
    <row r="51" spans="1:2" ht="30" x14ac:dyDescent="0.25">
      <c r="A51" s="167" t="s">
        <v>235</v>
      </c>
      <c r="B51" s="172" t="s">
        <v>236</v>
      </c>
    </row>
    <row r="52" spans="1:2" x14ac:dyDescent="0.25">
      <c r="A52" s="167" t="s">
        <v>237</v>
      </c>
      <c r="B52" s="172" t="s">
        <v>238</v>
      </c>
    </row>
    <row r="53" spans="1:2" ht="30" x14ac:dyDescent="0.25">
      <c r="A53" s="167" t="s">
        <v>239</v>
      </c>
      <c r="B53" s="172" t="s">
        <v>240</v>
      </c>
    </row>
    <row r="54" spans="1:2" x14ac:dyDescent="0.25">
      <c r="A54" s="167" t="s">
        <v>241</v>
      </c>
      <c r="B54" s="172" t="s">
        <v>242</v>
      </c>
    </row>
    <row r="55" spans="1:2" x14ac:dyDescent="0.25">
      <c r="A55" s="167" t="s">
        <v>243</v>
      </c>
      <c r="B55" s="172" t="s">
        <v>244</v>
      </c>
    </row>
    <row r="56" spans="1:2" ht="30" x14ac:dyDescent="0.25">
      <c r="A56" s="167" t="s">
        <v>245</v>
      </c>
      <c r="B56" s="172" t="s">
        <v>246</v>
      </c>
    </row>
    <row r="57" spans="1:2" ht="30" x14ac:dyDescent="0.25">
      <c r="A57" s="167" t="s">
        <v>247</v>
      </c>
      <c r="B57" s="172" t="s">
        <v>248</v>
      </c>
    </row>
    <row r="58" spans="1:2" x14ac:dyDescent="0.25">
      <c r="A58" s="167" t="s">
        <v>249</v>
      </c>
      <c r="B58" s="172" t="s">
        <v>250</v>
      </c>
    </row>
    <row r="59" spans="1:2" x14ac:dyDescent="0.25">
      <c r="A59" s="167" t="s">
        <v>251</v>
      </c>
      <c r="B59" s="172" t="s">
        <v>252</v>
      </c>
    </row>
    <row r="60" spans="1:2" x14ac:dyDescent="0.25">
      <c r="A60" s="167" t="s">
        <v>253</v>
      </c>
      <c r="B60" s="172" t="s">
        <v>254</v>
      </c>
    </row>
    <row r="61" spans="1:2" x14ac:dyDescent="0.25">
      <c r="A61" s="167" t="s">
        <v>255</v>
      </c>
      <c r="B61" s="172" t="s">
        <v>256</v>
      </c>
    </row>
    <row r="62" spans="1:2" ht="30" x14ac:dyDescent="0.25">
      <c r="A62" s="167" t="s">
        <v>257</v>
      </c>
      <c r="B62" s="172" t="s">
        <v>258</v>
      </c>
    </row>
    <row r="63" spans="1:2" x14ac:dyDescent="0.25">
      <c r="A63" s="167" t="s">
        <v>259</v>
      </c>
      <c r="B63" s="172" t="s">
        <v>260</v>
      </c>
    </row>
    <row r="64" spans="1:2" ht="45" x14ac:dyDescent="0.25">
      <c r="A64" s="167" t="s">
        <v>261</v>
      </c>
      <c r="B64" s="172" t="s">
        <v>262</v>
      </c>
    </row>
    <row r="65" spans="1:2" x14ac:dyDescent="0.25">
      <c r="A65" s="167" t="s">
        <v>263</v>
      </c>
      <c r="B65" s="172" t="s">
        <v>264</v>
      </c>
    </row>
    <row r="66" spans="1:2" ht="30" x14ac:dyDescent="0.25">
      <c r="A66" s="167" t="s">
        <v>265</v>
      </c>
      <c r="B66" s="172" t="s">
        <v>266</v>
      </c>
    </row>
    <row r="67" spans="1:2" x14ac:dyDescent="0.25">
      <c r="A67" s="168"/>
      <c r="B67" s="173" t="s">
        <v>412</v>
      </c>
    </row>
    <row r="68" spans="1:2" x14ac:dyDescent="0.25">
      <c r="A68" s="169" t="s">
        <v>267</v>
      </c>
      <c r="B68" s="172" t="s">
        <v>268</v>
      </c>
    </row>
    <row r="69" spans="1:2" ht="30" x14ac:dyDescent="0.25">
      <c r="A69" s="169" t="s">
        <v>269</v>
      </c>
      <c r="B69" s="172" t="s">
        <v>270</v>
      </c>
    </row>
    <row r="70" spans="1:2" x14ac:dyDescent="0.25">
      <c r="A70" s="169" t="s">
        <v>271</v>
      </c>
      <c r="B70" s="172" t="s">
        <v>272</v>
      </c>
    </row>
    <row r="71" spans="1:2" ht="30" x14ac:dyDescent="0.25">
      <c r="A71" s="169" t="s">
        <v>273</v>
      </c>
      <c r="B71" s="172" t="s">
        <v>274</v>
      </c>
    </row>
    <row r="72" spans="1:2" x14ac:dyDescent="0.25">
      <c r="A72" s="169" t="s">
        <v>275</v>
      </c>
      <c r="B72" s="172" t="s">
        <v>276</v>
      </c>
    </row>
    <row r="73" spans="1:2" x14ac:dyDescent="0.25">
      <c r="A73" s="169" t="s">
        <v>277</v>
      </c>
      <c r="B73" s="172" t="s">
        <v>278</v>
      </c>
    </row>
    <row r="74" spans="1:2" x14ac:dyDescent="0.25">
      <c r="A74" s="169" t="s">
        <v>279</v>
      </c>
      <c r="B74" s="172" t="s">
        <v>280</v>
      </c>
    </row>
    <row r="75" spans="1:2" x14ac:dyDescent="0.25">
      <c r="A75" s="169" t="s">
        <v>281</v>
      </c>
      <c r="B75" s="172" t="s">
        <v>282</v>
      </c>
    </row>
    <row r="76" spans="1:2" x14ac:dyDescent="0.25">
      <c r="A76" s="169" t="s">
        <v>283</v>
      </c>
      <c r="B76" s="172" t="s">
        <v>284</v>
      </c>
    </row>
    <row r="77" spans="1:2" x14ac:dyDescent="0.25">
      <c r="A77" s="169" t="s">
        <v>285</v>
      </c>
      <c r="B77" s="172" t="s">
        <v>286</v>
      </c>
    </row>
    <row r="78" spans="1:2" ht="30" x14ac:dyDescent="0.25">
      <c r="A78" s="169" t="s">
        <v>287</v>
      </c>
      <c r="B78" s="172" t="s">
        <v>288</v>
      </c>
    </row>
    <row r="79" spans="1:2" x14ac:dyDescent="0.25">
      <c r="A79" s="169" t="s">
        <v>289</v>
      </c>
      <c r="B79" s="172" t="s">
        <v>290</v>
      </c>
    </row>
    <row r="80" spans="1:2" x14ac:dyDescent="0.25">
      <c r="A80" s="169" t="s">
        <v>291</v>
      </c>
      <c r="B80" s="172" t="s">
        <v>292</v>
      </c>
    </row>
    <row r="81" spans="1:2" ht="30" x14ac:dyDescent="0.25">
      <c r="A81" s="169" t="s">
        <v>293</v>
      </c>
      <c r="B81" s="172" t="s">
        <v>294</v>
      </c>
    </row>
    <row r="82" spans="1:2" x14ac:dyDescent="0.25">
      <c r="A82" s="169" t="s">
        <v>295</v>
      </c>
      <c r="B82" s="172" t="s">
        <v>296</v>
      </c>
    </row>
    <row r="83" spans="1:2" x14ac:dyDescent="0.25">
      <c r="A83" s="169" t="s">
        <v>297</v>
      </c>
      <c r="B83" s="172" t="s">
        <v>298</v>
      </c>
    </row>
    <row r="84" spans="1:2" x14ac:dyDescent="0.25">
      <c r="A84" s="169" t="s">
        <v>299</v>
      </c>
      <c r="B84" s="172" t="s">
        <v>300</v>
      </c>
    </row>
    <row r="85" spans="1:2" ht="30" x14ac:dyDescent="0.25">
      <c r="A85" s="169" t="s">
        <v>301</v>
      </c>
      <c r="B85" s="172" t="s">
        <v>302</v>
      </c>
    </row>
    <row r="86" spans="1:2" ht="30" x14ac:dyDescent="0.25">
      <c r="A86" s="169" t="s">
        <v>303</v>
      </c>
      <c r="B86" s="172" t="s">
        <v>304</v>
      </c>
    </row>
    <row r="87" spans="1:2" x14ac:dyDescent="0.25">
      <c r="A87" s="169" t="s">
        <v>305</v>
      </c>
      <c r="B87" s="172" t="s">
        <v>306</v>
      </c>
    </row>
    <row r="88" spans="1:2" ht="30" x14ac:dyDescent="0.25">
      <c r="A88" s="169" t="s">
        <v>307</v>
      </c>
      <c r="B88" s="172" t="s">
        <v>308</v>
      </c>
    </row>
    <row r="89" spans="1:2" ht="30" x14ac:dyDescent="0.25">
      <c r="A89" s="169" t="s">
        <v>309</v>
      </c>
      <c r="B89" s="172" t="s">
        <v>310</v>
      </c>
    </row>
    <row r="90" spans="1:2" x14ac:dyDescent="0.25">
      <c r="A90" s="169" t="s">
        <v>311</v>
      </c>
      <c r="B90" s="172" t="s">
        <v>312</v>
      </c>
    </row>
    <row r="91" spans="1:2" ht="30" x14ac:dyDescent="0.25">
      <c r="A91" s="169" t="s">
        <v>313</v>
      </c>
      <c r="B91" s="172" t="s">
        <v>314</v>
      </c>
    </row>
    <row r="92" spans="1:2" x14ac:dyDescent="0.25">
      <c r="A92" s="169" t="s">
        <v>315</v>
      </c>
      <c r="B92" s="172" t="s">
        <v>316</v>
      </c>
    </row>
    <row r="93" spans="1:2" ht="30" x14ac:dyDescent="0.25">
      <c r="A93" s="169" t="s">
        <v>317</v>
      </c>
      <c r="B93" s="172" t="s">
        <v>318</v>
      </c>
    </row>
    <row r="94" spans="1:2" x14ac:dyDescent="0.25">
      <c r="A94" s="169" t="s">
        <v>319</v>
      </c>
      <c r="B94" s="172" t="s">
        <v>320</v>
      </c>
    </row>
    <row r="95" spans="1:2" x14ac:dyDescent="0.25">
      <c r="A95" s="169" t="s">
        <v>321</v>
      </c>
      <c r="B95" s="172" t="s">
        <v>322</v>
      </c>
    </row>
    <row r="96" spans="1:2" ht="30" x14ac:dyDescent="0.25">
      <c r="A96" s="169" t="s">
        <v>323</v>
      </c>
      <c r="B96" s="172" t="s">
        <v>324</v>
      </c>
    </row>
    <row r="97" spans="1:2" ht="30" x14ac:dyDescent="0.25">
      <c r="A97" s="169" t="s">
        <v>325</v>
      </c>
      <c r="B97" s="172" t="s">
        <v>326</v>
      </c>
    </row>
    <row r="98" spans="1:2" ht="30" x14ac:dyDescent="0.25">
      <c r="A98" s="169" t="s">
        <v>327</v>
      </c>
      <c r="B98" s="172" t="s">
        <v>328</v>
      </c>
    </row>
    <row r="99" spans="1:2" x14ac:dyDescent="0.25">
      <c r="A99" s="169" t="s">
        <v>329</v>
      </c>
      <c r="B99" s="172" t="s">
        <v>330</v>
      </c>
    </row>
    <row r="100" spans="1:2" x14ac:dyDescent="0.25">
      <c r="A100" s="169" t="s">
        <v>331</v>
      </c>
      <c r="B100" s="172" t="s">
        <v>332</v>
      </c>
    </row>
    <row r="101" spans="1:2" x14ac:dyDescent="0.25">
      <c r="A101" s="169" t="s">
        <v>333</v>
      </c>
      <c r="B101" s="172" t="s">
        <v>334</v>
      </c>
    </row>
    <row r="102" spans="1:2" x14ac:dyDescent="0.25">
      <c r="A102" s="169" t="s">
        <v>335</v>
      </c>
      <c r="B102" s="172" t="s">
        <v>336</v>
      </c>
    </row>
    <row r="103" spans="1:2" x14ac:dyDescent="0.25">
      <c r="A103" s="169" t="s">
        <v>337</v>
      </c>
      <c r="B103" s="172" t="s">
        <v>338</v>
      </c>
    </row>
    <row r="104" spans="1:2" x14ac:dyDescent="0.25">
      <c r="A104" s="169" t="s">
        <v>339</v>
      </c>
      <c r="B104" s="172" t="s">
        <v>340</v>
      </c>
    </row>
    <row r="105" spans="1:2" x14ac:dyDescent="0.25">
      <c r="A105" s="169" t="s">
        <v>341</v>
      </c>
      <c r="B105" s="172" t="s">
        <v>342</v>
      </c>
    </row>
    <row r="106" spans="1:2" ht="30" x14ac:dyDescent="0.25">
      <c r="A106" s="169" t="s">
        <v>343</v>
      </c>
      <c r="B106" s="172" t="s">
        <v>344</v>
      </c>
    </row>
    <row r="107" spans="1:2" x14ac:dyDescent="0.25">
      <c r="A107" s="169" t="s">
        <v>345</v>
      </c>
      <c r="B107" s="172" t="s">
        <v>346</v>
      </c>
    </row>
    <row r="108" spans="1:2" ht="30" x14ac:dyDescent="0.25">
      <c r="A108" s="169" t="s">
        <v>347</v>
      </c>
      <c r="B108" s="172" t="s">
        <v>348</v>
      </c>
    </row>
    <row r="109" spans="1:2" ht="30" x14ac:dyDescent="0.25">
      <c r="A109" s="169" t="s">
        <v>349</v>
      </c>
      <c r="B109" s="172" t="s">
        <v>350</v>
      </c>
    </row>
    <row r="110" spans="1:2" x14ac:dyDescent="0.25">
      <c r="A110" s="169" t="s">
        <v>351</v>
      </c>
      <c r="B110" s="172" t="s">
        <v>352</v>
      </c>
    </row>
    <row r="111" spans="1:2" x14ac:dyDescent="0.25">
      <c r="A111" s="169" t="s">
        <v>353</v>
      </c>
      <c r="B111" s="172" t="s">
        <v>354</v>
      </c>
    </row>
    <row r="112" spans="1:2" x14ac:dyDescent="0.25">
      <c r="A112" s="169" t="s">
        <v>355</v>
      </c>
      <c r="B112" s="172" t="s">
        <v>356</v>
      </c>
    </row>
    <row r="113" spans="1:2" ht="30" x14ac:dyDescent="0.25">
      <c r="A113" s="169" t="s">
        <v>357</v>
      </c>
      <c r="B113" s="172" t="s">
        <v>358</v>
      </c>
    </row>
    <row r="114" spans="1:2" x14ac:dyDescent="0.25">
      <c r="A114" s="169" t="s">
        <v>359</v>
      </c>
      <c r="B114" s="172" t="s">
        <v>360</v>
      </c>
    </row>
    <row r="115" spans="1:2" x14ac:dyDescent="0.25">
      <c r="A115" s="169" t="s">
        <v>361</v>
      </c>
      <c r="B115" s="172" t="s">
        <v>362</v>
      </c>
    </row>
    <row r="116" spans="1:2" x14ac:dyDescent="0.25">
      <c r="A116" s="169" t="s">
        <v>363</v>
      </c>
      <c r="B116" s="172" t="s">
        <v>364</v>
      </c>
    </row>
    <row r="117" spans="1:2" ht="30" x14ac:dyDescent="0.25">
      <c r="A117" s="169" t="s">
        <v>365</v>
      </c>
      <c r="B117" s="172" t="s">
        <v>366</v>
      </c>
    </row>
    <row r="118" spans="1:2" x14ac:dyDescent="0.25">
      <c r="A118" s="169" t="s">
        <v>367</v>
      </c>
      <c r="B118" s="172" t="s">
        <v>368</v>
      </c>
    </row>
    <row r="119" spans="1:2" ht="30" x14ac:dyDescent="0.25">
      <c r="A119" s="169" t="s">
        <v>369</v>
      </c>
      <c r="B119" s="172" t="s">
        <v>370</v>
      </c>
    </row>
    <row r="120" spans="1:2" ht="30" x14ac:dyDescent="0.25">
      <c r="A120" s="169" t="s">
        <v>371</v>
      </c>
      <c r="B120" s="172" t="s">
        <v>372</v>
      </c>
    </row>
    <row r="121" spans="1:2" ht="30" x14ac:dyDescent="0.25">
      <c r="A121" s="169" t="s">
        <v>373</v>
      </c>
      <c r="B121" s="172" t="s">
        <v>374</v>
      </c>
    </row>
    <row r="122" spans="1:2" x14ac:dyDescent="0.25">
      <c r="A122" s="169" t="s">
        <v>375</v>
      </c>
      <c r="B122" s="172" t="s">
        <v>376</v>
      </c>
    </row>
    <row r="123" spans="1:2" x14ac:dyDescent="0.25">
      <c r="A123" s="169" t="s">
        <v>377</v>
      </c>
      <c r="B123" s="172" t="s">
        <v>378</v>
      </c>
    </row>
    <row r="124" spans="1:2" x14ac:dyDescent="0.25">
      <c r="A124" s="169" t="s">
        <v>379</v>
      </c>
      <c r="B124" s="172" t="s">
        <v>380</v>
      </c>
    </row>
    <row r="125" spans="1:2" ht="30" x14ac:dyDescent="0.25">
      <c r="A125" s="169" t="s">
        <v>381</v>
      </c>
      <c r="B125" s="172" t="s">
        <v>382</v>
      </c>
    </row>
    <row r="126" spans="1:2" ht="30" x14ac:dyDescent="0.25">
      <c r="A126" s="169" t="s">
        <v>383</v>
      </c>
      <c r="B126" s="172" t="s">
        <v>384</v>
      </c>
    </row>
    <row r="127" spans="1:2" ht="30" x14ac:dyDescent="0.25">
      <c r="A127" s="169" t="s">
        <v>385</v>
      </c>
      <c r="B127" s="172" t="s">
        <v>386</v>
      </c>
    </row>
    <row r="128" spans="1:2" ht="30" x14ac:dyDescent="0.25">
      <c r="A128" s="169" t="s">
        <v>387</v>
      </c>
      <c r="B128" s="172" t="s">
        <v>388</v>
      </c>
    </row>
    <row r="129" spans="1:2" x14ac:dyDescent="0.25">
      <c r="A129" s="169" t="s">
        <v>389</v>
      </c>
      <c r="B129" s="172" t="s">
        <v>390</v>
      </c>
    </row>
    <row r="130" spans="1:2" x14ac:dyDescent="0.25">
      <c r="A130" s="170"/>
      <c r="B130" s="174" t="s">
        <v>413</v>
      </c>
    </row>
    <row r="131" spans="1:2" x14ac:dyDescent="0.25">
      <c r="A131" s="169" t="s">
        <v>391</v>
      </c>
      <c r="B131" s="172" t="s">
        <v>392</v>
      </c>
    </row>
    <row r="132" spans="1:2" ht="30" x14ac:dyDescent="0.25">
      <c r="A132" s="169" t="s">
        <v>393</v>
      </c>
      <c r="B132" s="172" t="s">
        <v>394</v>
      </c>
    </row>
    <row r="133" spans="1:2" x14ac:dyDescent="0.25">
      <c r="A133" s="169" t="s">
        <v>395</v>
      </c>
      <c r="B133" s="172" t="s">
        <v>396</v>
      </c>
    </row>
    <row r="134" spans="1:2" ht="30" x14ac:dyDescent="0.25">
      <c r="A134" s="169" t="s">
        <v>397</v>
      </c>
      <c r="B134" s="172" t="s">
        <v>398</v>
      </c>
    </row>
    <row r="135" spans="1:2" ht="30" x14ac:dyDescent="0.25">
      <c r="A135" s="169" t="s">
        <v>399</v>
      </c>
      <c r="B135" s="172" t="s">
        <v>400</v>
      </c>
    </row>
    <row r="136" spans="1:2" x14ac:dyDescent="0.25">
      <c r="A136" s="169" t="s">
        <v>401</v>
      </c>
      <c r="B136" s="172" t="s">
        <v>402</v>
      </c>
    </row>
    <row r="137" spans="1:2" ht="30" x14ac:dyDescent="0.25">
      <c r="A137" s="169" t="s">
        <v>403</v>
      </c>
      <c r="B137" s="172" t="s">
        <v>404</v>
      </c>
    </row>
    <row r="138" spans="1:2" x14ac:dyDescent="0.25">
      <c r="A138" s="169" t="s">
        <v>405</v>
      </c>
      <c r="B138" s="172" t="s">
        <v>406</v>
      </c>
    </row>
    <row r="139" spans="1:2" x14ac:dyDescent="0.25">
      <c r="A139" s="177" t="s">
        <v>407</v>
      </c>
      <c r="B139" s="178" t="s">
        <v>408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8D6AD-EFE1-4061-9351-C43F846FEFA9}">
  <sheetPr codeName="Arkusz9" filterMode="1"/>
  <dimension ref="A1:AV388"/>
  <sheetViews>
    <sheetView topLeftCell="I220" workbookViewId="0">
      <pane ySplit="6" topLeftCell="A226" activePane="bottomLeft" state="frozen"/>
      <selection activeCell="M31" sqref="M31"/>
      <selection pane="bottomLeft" activeCell="O387" sqref="O387"/>
    </sheetView>
  </sheetViews>
  <sheetFormatPr defaultColWidth="8.85546875" defaultRowHeight="15" x14ac:dyDescent="0.25"/>
  <cols>
    <col min="1" max="1" width="13.28515625" style="575" customWidth="1"/>
    <col min="2" max="2" width="34.28515625" customWidth="1"/>
    <col min="10" max="10" width="21.42578125" customWidth="1"/>
    <col min="11" max="11" width="12.28515625" customWidth="1"/>
    <col min="12" max="12" width="38.42578125" customWidth="1"/>
    <col min="13" max="45" width="4.7109375" customWidth="1"/>
  </cols>
  <sheetData>
    <row r="1" spans="1:20" ht="15.75" thickBot="1" x14ac:dyDescent="0.3">
      <c r="A1" s="4" t="s">
        <v>643</v>
      </c>
      <c r="K1" t="s">
        <v>644</v>
      </c>
    </row>
    <row r="2" spans="1:20" ht="15" customHeight="1" x14ac:dyDescent="0.25">
      <c r="A2" s="576"/>
      <c r="B2" s="571"/>
      <c r="C2" s="1414" t="s">
        <v>631</v>
      </c>
      <c r="D2" s="1414" t="s">
        <v>632</v>
      </c>
      <c r="E2" s="1414" t="s">
        <v>633</v>
      </c>
      <c r="F2" s="1414" t="s">
        <v>634</v>
      </c>
      <c r="G2" s="572" t="s">
        <v>635</v>
      </c>
      <c r="H2" s="572" t="s">
        <v>637</v>
      </c>
      <c r="I2" s="570"/>
      <c r="K2" s="1406" t="s">
        <v>638</v>
      </c>
      <c r="L2" s="580"/>
      <c r="M2" s="1403" t="s">
        <v>631</v>
      </c>
      <c r="N2" s="1403" t="s">
        <v>632</v>
      </c>
      <c r="O2" s="1403" t="s">
        <v>633</v>
      </c>
      <c r="P2" s="1403" t="s">
        <v>634</v>
      </c>
      <c r="Q2" s="586" t="s">
        <v>635</v>
      </c>
      <c r="R2" s="586" t="s">
        <v>637</v>
      </c>
      <c r="S2" s="587" t="s">
        <v>640</v>
      </c>
      <c r="T2" s="1416"/>
    </row>
    <row r="3" spans="1:20" ht="39" thickBot="1" x14ac:dyDescent="0.3">
      <c r="A3" s="577" t="s">
        <v>638</v>
      </c>
      <c r="B3" s="573" t="s">
        <v>630</v>
      </c>
      <c r="C3" s="1415"/>
      <c r="D3" s="1415"/>
      <c r="E3" s="1415"/>
      <c r="F3" s="1415"/>
      <c r="G3" s="574" t="s">
        <v>636</v>
      </c>
      <c r="H3" s="574" t="s">
        <v>129</v>
      </c>
      <c r="I3" s="570"/>
      <c r="K3" s="1407"/>
      <c r="L3" s="581" t="s">
        <v>630</v>
      </c>
      <c r="M3" s="1404"/>
      <c r="N3" s="1404"/>
      <c r="O3" s="1404"/>
      <c r="P3" s="1404"/>
      <c r="Q3" s="588" t="s">
        <v>636</v>
      </c>
      <c r="R3" s="588" t="s">
        <v>129</v>
      </c>
      <c r="S3" s="581" t="s">
        <v>641</v>
      </c>
      <c r="T3" s="1416"/>
    </row>
    <row r="4" spans="1:20" ht="15.75" thickBot="1" x14ac:dyDescent="0.3">
      <c r="A4" s="579">
        <v>1</v>
      </c>
      <c r="B4" s="558" t="s">
        <v>466</v>
      </c>
      <c r="C4" s="559">
        <v>30</v>
      </c>
      <c r="D4" s="559"/>
      <c r="E4" s="559">
        <v>45</v>
      </c>
      <c r="F4" s="559"/>
      <c r="G4" s="560">
        <v>75</v>
      </c>
      <c r="H4" s="560">
        <v>4</v>
      </c>
      <c r="I4" s="570"/>
      <c r="K4" s="1408"/>
      <c r="L4" s="582"/>
      <c r="M4" s="1405"/>
      <c r="N4" s="1405"/>
      <c r="O4" s="1405"/>
      <c r="P4" s="1405"/>
      <c r="Q4" s="589"/>
      <c r="R4" s="589"/>
      <c r="S4" s="590" t="s">
        <v>642</v>
      </c>
      <c r="T4" s="570"/>
    </row>
    <row r="5" spans="1:20" ht="26.25" thickBot="1" x14ac:dyDescent="0.3">
      <c r="A5" s="579">
        <v>2</v>
      </c>
      <c r="B5" s="561" t="s">
        <v>627</v>
      </c>
      <c r="C5" s="562">
        <v>10</v>
      </c>
      <c r="D5" s="562"/>
      <c r="E5" s="562">
        <v>10</v>
      </c>
      <c r="F5" s="562"/>
      <c r="G5" s="563">
        <v>20</v>
      </c>
      <c r="H5" s="563">
        <v>2</v>
      </c>
      <c r="K5" s="591">
        <v>1</v>
      </c>
      <c r="L5" s="583" t="s">
        <v>484</v>
      </c>
      <c r="M5" s="590">
        <v>20</v>
      </c>
      <c r="N5" s="590"/>
      <c r="O5" s="590">
        <v>40</v>
      </c>
      <c r="P5" s="590"/>
      <c r="Q5" s="592">
        <v>60</v>
      </c>
      <c r="R5" s="592">
        <v>6</v>
      </c>
      <c r="S5" s="593" t="s">
        <v>99</v>
      </c>
      <c r="T5" s="570"/>
    </row>
    <row r="6" spans="1:20" ht="27" thickBot="1" x14ac:dyDescent="0.3">
      <c r="A6" s="577" t="s">
        <v>639</v>
      </c>
      <c r="B6" s="564" t="s">
        <v>475</v>
      </c>
      <c r="C6" s="562">
        <v>10</v>
      </c>
      <c r="D6" s="562">
        <v>10</v>
      </c>
      <c r="E6" s="562">
        <v>40</v>
      </c>
      <c r="F6" s="562"/>
      <c r="G6" s="563">
        <v>60</v>
      </c>
      <c r="H6" s="563">
        <v>3</v>
      </c>
      <c r="K6" s="591">
        <v>2</v>
      </c>
      <c r="L6" s="583" t="s">
        <v>488</v>
      </c>
      <c r="M6" s="590">
        <v>30</v>
      </c>
      <c r="N6" s="590"/>
      <c r="O6" s="590">
        <v>30</v>
      </c>
      <c r="P6" s="590"/>
      <c r="Q6" s="592">
        <v>60</v>
      </c>
      <c r="R6" s="592">
        <v>5</v>
      </c>
      <c r="S6" s="593" t="s">
        <v>99</v>
      </c>
      <c r="T6" s="570"/>
    </row>
    <row r="7" spans="1:20" ht="27" thickBot="1" x14ac:dyDescent="0.3">
      <c r="A7" s="579" t="s">
        <v>639</v>
      </c>
      <c r="B7" s="564" t="s">
        <v>474</v>
      </c>
      <c r="C7" s="562">
        <v>15</v>
      </c>
      <c r="D7" s="562"/>
      <c r="E7" s="562">
        <v>20</v>
      </c>
      <c r="F7" s="562"/>
      <c r="G7" s="563">
        <v>35</v>
      </c>
      <c r="H7" s="563">
        <v>2</v>
      </c>
      <c r="K7" s="591" t="s">
        <v>639</v>
      </c>
      <c r="L7" s="584" t="s">
        <v>485</v>
      </c>
      <c r="M7" s="590">
        <v>20</v>
      </c>
      <c r="N7" s="590"/>
      <c r="O7" s="590">
        <v>35</v>
      </c>
      <c r="P7" s="590"/>
      <c r="Q7" s="592">
        <v>55</v>
      </c>
      <c r="R7" s="592">
        <v>5</v>
      </c>
      <c r="S7" s="593" t="s">
        <v>56</v>
      </c>
      <c r="T7" s="570"/>
    </row>
    <row r="8" spans="1:20" ht="27" thickBot="1" x14ac:dyDescent="0.3">
      <c r="A8" s="577" t="s">
        <v>639</v>
      </c>
      <c r="B8" s="564" t="s">
        <v>626</v>
      </c>
      <c r="C8" s="562">
        <v>15</v>
      </c>
      <c r="D8" s="562"/>
      <c r="E8" s="562">
        <v>30</v>
      </c>
      <c r="F8" s="562"/>
      <c r="G8" s="563">
        <v>45</v>
      </c>
      <c r="H8" s="563">
        <v>2</v>
      </c>
      <c r="K8" s="591" t="s">
        <v>639</v>
      </c>
      <c r="L8" s="584" t="s">
        <v>533</v>
      </c>
      <c r="M8" s="590">
        <v>30</v>
      </c>
      <c r="N8" s="590">
        <v>30</v>
      </c>
      <c r="O8" s="590">
        <v>30</v>
      </c>
      <c r="P8" s="590"/>
      <c r="Q8" s="592">
        <v>90</v>
      </c>
      <c r="R8" s="592">
        <v>7</v>
      </c>
      <c r="S8" s="593" t="s">
        <v>56</v>
      </c>
      <c r="T8" s="570"/>
    </row>
    <row r="9" spans="1:20" ht="27" thickBot="1" x14ac:dyDescent="0.3">
      <c r="A9" s="579" t="s">
        <v>639</v>
      </c>
      <c r="B9" s="564" t="s">
        <v>625</v>
      </c>
      <c r="C9" s="562">
        <v>30</v>
      </c>
      <c r="D9" s="562"/>
      <c r="E9" s="562">
        <v>20</v>
      </c>
      <c r="F9" s="562"/>
      <c r="G9" s="563">
        <v>50</v>
      </c>
      <c r="H9" s="563">
        <v>3</v>
      </c>
      <c r="K9" s="591" t="s">
        <v>639</v>
      </c>
      <c r="L9" s="584" t="s">
        <v>530</v>
      </c>
      <c r="M9" s="590">
        <v>20</v>
      </c>
      <c r="N9" s="590"/>
      <c r="O9" s="590">
        <v>30</v>
      </c>
      <c r="P9" s="590"/>
      <c r="Q9" s="592">
        <v>50</v>
      </c>
      <c r="R9" s="592">
        <v>5</v>
      </c>
      <c r="S9" s="593" t="s">
        <v>99</v>
      </c>
      <c r="T9" s="570"/>
    </row>
    <row r="10" spans="1:20" ht="27" thickBot="1" x14ac:dyDescent="0.3">
      <c r="A10" s="577" t="s">
        <v>639</v>
      </c>
      <c r="B10" s="564" t="s">
        <v>483</v>
      </c>
      <c r="C10" s="562">
        <v>15</v>
      </c>
      <c r="D10" s="562"/>
      <c r="E10" s="562">
        <v>30</v>
      </c>
      <c r="F10" s="562"/>
      <c r="G10" s="563">
        <v>45</v>
      </c>
      <c r="H10" s="563">
        <v>3</v>
      </c>
      <c r="K10" s="591" t="s">
        <v>639</v>
      </c>
      <c r="L10" s="584" t="s">
        <v>587</v>
      </c>
      <c r="M10" s="590">
        <v>20</v>
      </c>
      <c r="N10" s="590"/>
      <c r="O10" s="590">
        <v>35</v>
      </c>
      <c r="P10" s="590"/>
      <c r="Q10" s="592">
        <v>55</v>
      </c>
      <c r="R10" s="592">
        <v>4</v>
      </c>
      <c r="S10" s="593" t="s">
        <v>56</v>
      </c>
      <c r="T10" s="570"/>
    </row>
    <row r="11" spans="1:20" ht="27" thickBot="1" x14ac:dyDescent="0.3">
      <c r="A11" s="579" t="s">
        <v>639</v>
      </c>
      <c r="B11" s="564" t="s">
        <v>479</v>
      </c>
      <c r="C11" s="562">
        <v>15</v>
      </c>
      <c r="D11" s="562"/>
      <c r="E11" s="562">
        <v>60</v>
      </c>
      <c r="F11" s="562"/>
      <c r="G11" s="563">
        <v>75</v>
      </c>
      <c r="H11" s="563">
        <v>6</v>
      </c>
      <c r="K11" s="591" t="s">
        <v>639</v>
      </c>
      <c r="L11" s="584" t="s">
        <v>486</v>
      </c>
      <c r="M11" s="590">
        <v>20</v>
      </c>
      <c r="N11" s="590"/>
      <c r="O11" s="590">
        <v>35</v>
      </c>
      <c r="P11" s="590"/>
      <c r="Q11" s="592">
        <v>55</v>
      </c>
      <c r="R11" s="592">
        <v>5</v>
      </c>
      <c r="S11" s="593" t="s">
        <v>56</v>
      </c>
      <c r="T11" s="570"/>
    </row>
    <row r="12" spans="1:20" ht="27" thickBot="1" x14ac:dyDescent="0.3">
      <c r="A12" s="577" t="s">
        <v>639</v>
      </c>
      <c r="B12" s="564" t="s">
        <v>473</v>
      </c>
      <c r="C12" s="562"/>
      <c r="D12" s="562"/>
      <c r="E12" s="562">
        <v>60</v>
      </c>
      <c r="F12" s="562"/>
      <c r="G12" s="563">
        <v>60</v>
      </c>
      <c r="H12" s="563">
        <v>4</v>
      </c>
      <c r="K12" s="591" t="s">
        <v>639</v>
      </c>
      <c r="L12" s="584" t="s">
        <v>490</v>
      </c>
      <c r="M12" s="590">
        <v>30</v>
      </c>
      <c r="N12" s="590"/>
      <c r="O12" s="590">
        <v>30</v>
      </c>
      <c r="P12" s="590"/>
      <c r="Q12" s="592">
        <v>60</v>
      </c>
      <c r="R12" s="592">
        <v>7</v>
      </c>
      <c r="S12" s="593" t="s">
        <v>56</v>
      </c>
      <c r="T12" s="570"/>
    </row>
    <row r="13" spans="1:20" ht="27" thickBot="1" x14ac:dyDescent="0.3">
      <c r="A13" s="579" t="s">
        <v>623</v>
      </c>
      <c r="B13" s="565" t="s">
        <v>477</v>
      </c>
      <c r="C13" s="562"/>
      <c r="D13" s="562">
        <v>20</v>
      </c>
      <c r="E13" s="562">
        <v>15</v>
      </c>
      <c r="F13" s="562"/>
      <c r="G13" s="563">
        <v>35</v>
      </c>
      <c r="H13" s="563">
        <v>2</v>
      </c>
      <c r="K13" s="591" t="s">
        <v>623</v>
      </c>
      <c r="L13" s="585" t="s">
        <v>489</v>
      </c>
      <c r="M13" s="590">
        <v>10</v>
      </c>
      <c r="N13" s="590"/>
      <c r="O13" s="590">
        <v>20</v>
      </c>
      <c r="P13" s="590"/>
      <c r="Q13" s="592">
        <v>30</v>
      </c>
      <c r="R13" s="592">
        <v>5</v>
      </c>
      <c r="S13" s="593" t="s">
        <v>56</v>
      </c>
      <c r="T13" s="570"/>
    </row>
    <row r="14" spans="1:20" ht="27" thickBot="1" x14ac:dyDescent="0.3">
      <c r="A14" s="577" t="s">
        <v>623</v>
      </c>
      <c r="B14" s="565" t="s">
        <v>527</v>
      </c>
      <c r="C14" s="562">
        <v>5</v>
      </c>
      <c r="D14" s="562"/>
      <c r="E14" s="562">
        <v>40</v>
      </c>
      <c r="F14" s="562"/>
      <c r="G14" s="563">
        <v>45</v>
      </c>
      <c r="H14" s="563">
        <v>3</v>
      </c>
      <c r="K14" s="591" t="s">
        <v>623</v>
      </c>
      <c r="L14" s="585" t="s">
        <v>525</v>
      </c>
      <c r="M14" s="590">
        <v>15</v>
      </c>
      <c r="N14" s="590"/>
      <c r="O14" s="590">
        <v>30</v>
      </c>
      <c r="P14" s="590"/>
      <c r="Q14" s="592">
        <v>45</v>
      </c>
      <c r="R14" s="592">
        <v>5</v>
      </c>
      <c r="S14" s="593" t="s">
        <v>99</v>
      </c>
      <c r="T14" s="570"/>
    </row>
    <row r="15" spans="1:20" ht="27" thickBot="1" x14ac:dyDescent="0.3">
      <c r="A15" s="579" t="s">
        <v>623</v>
      </c>
      <c r="B15" s="565" t="s">
        <v>481</v>
      </c>
      <c r="C15" s="562">
        <v>15</v>
      </c>
      <c r="D15" s="562">
        <v>30</v>
      </c>
      <c r="E15" s="562"/>
      <c r="F15" s="562"/>
      <c r="G15" s="563">
        <v>45</v>
      </c>
      <c r="H15" s="563">
        <v>3</v>
      </c>
      <c r="K15" s="591" t="s">
        <v>623</v>
      </c>
      <c r="L15" s="585" t="s">
        <v>491</v>
      </c>
      <c r="M15" s="590">
        <v>15</v>
      </c>
      <c r="N15" s="590"/>
      <c r="O15" s="590">
        <v>60</v>
      </c>
      <c r="P15" s="590"/>
      <c r="Q15" s="592">
        <v>75</v>
      </c>
      <c r="R15" s="592">
        <v>6</v>
      </c>
      <c r="S15" s="593" t="s">
        <v>56</v>
      </c>
      <c r="T15" s="570"/>
    </row>
    <row r="16" spans="1:20" ht="27" thickBot="1" x14ac:dyDescent="0.3">
      <c r="A16" s="577" t="s">
        <v>623</v>
      </c>
      <c r="B16" s="565" t="s">
        <v>526</v>
      </c>
      <c r="C16" s="562">
        <v>30</v>
      </c>
      <c r="D16" s="562"/>
      <c r="E16" s="562">
        <v>30</v>
      </c>
      <c r="F16" s="562"/>
      <c r="G16" s="563">
        <v>60</v>
      </c>
      <c r="H16" s="563">
        <v>3</v>
      </c>
      <c r="K16" s="591" t="s">
        <v>623</v>
      </c>
      <c r="L16" s="585" t="s">
        <v>487</v>
      </c>
      <c r="M16" s="590">
        <v>30</v>
      </c>
      <c r="N16" s="590"/>
      <c r="O16" s="590">
        <v>40</v>
      </c>
      <c r="P16" s="590"/>
      <c r="Q16" s="592">
        <v>70</v>
      </c>
      <c r="R16" s="592">
        <v>6</v>
      </c>
      <c r="S16" s="593" t="s">
        <v>56</v>
      </c>
      <c r="T16" s="570"/>
    </row>
    <row r="17" spans="1:20" ht="27" thickBot="1" x14ac:dyDescent="0.3">
      <c r="A17" s="579" t="s">
        <v>623</v>
      </c>
      <c r="B17" s="565" t="s">
        <v>482</v>
      </c>
      <c r="C17" s="562">
        <v>20</v>
      </c>
      <c r="D17" s="562"/>
      <c r="E17" s="562">
        <v>30</v>
      </c>
      <c r="F17" s="562"/>
      <c r="G17" s="563">
        <v>50</v>
      </c>
      <c r="H17" s="563">
        <v>4</v>
      </c>
      <c r="K17" s="591" t="s">
        <v>623</v>
      </c>
      <c r="L17" s="585" t="s">
        <v>531</v>
      </c>
      <c r="M17" s="590">
        <v>30</v>
      </c>
      <c r="N17" s="590"/>
      <c r="O17" s="590">
        <v>40</v>
      </c>
      <c r="P17" s="590"/>
      <c r="Q17" s="592">
        <v>70</v>
      </c>
      <c r="R17" s="592">
        <v>6</v>
      </c>
      <c r="S17" s="593" t="s">
        <v>56</v>
      </c>
      <c r="T17" s="570"/>
    </row>
    <row r="18" spans="1:20" ht="27" thickBot="1" x14ac:dyDescent="0.3">
      <c r="A18" s="577" t="s">
        <v>623</v>
      </c>
      <c r="B18" s="565" t="s">
        <v>476</v>
      </c>
      <c r="C18" s="562">
        <v>30</v>
      </c>
      <c r="D18" s="562"/>
      <c r="E18" s="562">
        <v>40</v>
      </c>
      <c r="F18" s="562"/>
      <c r="G18" s="563">
        <v>70</v>
      </c>
      <c r="H18" s="563">
        <v>4</v>
      </c>
      <c r="K18" s="591" t="s">
        <v>623</v>
      </c>
      <c r="L18" s="585" t="s">
        <v>532</v>
      </c>
      <c r="M18" s="590">
        <v>30</v>
      </c>
      <c r="N18" s="590"/>
      <c r="O18" s="590">
        <v>40</v>
      </c>
      <c r="P18" s="590"/>
      <c r="Q18" s="592">
        <v>70</v>
      </c>
      <c r="R18" s="592">
        <v>5</v>
      </c>
      <c r="S18" s="593" t="s">
        <v>56</v>
      </c>
      <c r="T18" s="570"/>
    </row>
    <row r="19" spans="1:20" ht="27" thickBot="1" x14ac:dyDescent="0.3">
      <c r="A19" s="579" t="s">
        <v>623</v>
      </c>
      <c r="B19" s="565" t="s">
        <v>480</v>
      </c>
      <c r="C19" s="562">
        <v>15</v>
      </c>
      <c r="D19" s="562"/>
      <c r="E19" s="562">
        <v>55</v>
      </c>
      <c r="F19" s="562"/>
      <c r="G19" s="563">
        <v>70</v>
      </c>
      <c r="H19" s="563">
        <v>4</v>
      </c>
      <c r="K19" s="591">
        <v>9</v>
      </c>
      <c r="L19" s="583" t="s">
        <v>478</v>
      </c>
      <c r="M19" s="590"/>
      <c r="N19" s="590">
        <v>120</v>
      </c>
      <c r="O19" s="590"/>
      <c r="P19" s="590"/>
      <c r="Q19" s="592">
        <v>120</v>
      </c>
      <c r="R19" s="592">
        <v>12</v>
      </c>
      <c r="S19" s="593" t="s">
        <v>99</v>
      </c>
      <c r="T19" s="570"/>
    </row>
    <row r="20" spans="1:20" ht="26.25" thickBot="1" x14ac:dyDescent="0.3">
      <c r="A20" s="577">
        <v>10</v>
      </c>
      <c r="B20" s="561" t="s">
        <v>478</v>
      </c>
      <c r="C20" s="562"/>
      <c r="D20" s="562">
        <v>120</v>
      </c>
      <c r="E20" s="562"/>
      <c r="F20" s="562"/>
      <c r="G20" s="563">
        <v>120</v>
      </c>
      <c r="H20" s="563">
        <v>10</v>
      </c>
      <c r="K20" s="591">
        <v>10</v>
      </c>
      <c r="L20" s="583" t="s">
        <v>591</v>
      </c>
      <c r="M20" s="590">
        <v>20</v>
      </c>
      <c r="N20" s="590"/>
      <c r="O20" s="590">
        <v>40</v>
      </c>
      <c r="P20" s="590"/>
      <c r="Q20" s="592">
        <v>60</v>
      </c>
      <c r="R20" s="592">
        <v>4</v>
      </c>
      <c r="S20" s="593" t="s">
        <v>99</v>
      </c>
      <c r="T20" s="570"/>
    </row>
    <row r="21" spans="1:20" ht="15.75" customHeight="1" thickBot="1" x14ac:dyDescent="0.3">
      <c r="A21" s="579">
        <v>11</v>
      </c>
      <c r="B21" s="561" t="s">
        <v>528</v>
      </c>
      <c r="C21" s="562"/>
      <c r="D21" s="562"/>
      <c r="E21" s="562">
        <v>40</v>
      </c>
      <c r="F21" s="562"/>
      <c r="G21" s="563">
        <v>40</v>
      </c>
      <c r="H21" s="563">
        <v>2</v>
      </c>
      <c r="K21" s="1417" t="s">
        <v>628</v>
      </c>
      <c r="L21" s="1418"/>
      <c r="M21" s="596">
        <f>SUM(M5:M12,M19:M20)</f>
        <v>210</v>
      </c>
      <c r="N21" s="596">
        <f t="shared" ref="N21:R21" si="0">SUM(N5:N12,N19:N20)</f>
        <v>150</v>
      </c>
      <c r="O21" s="596">
        <f t="shared" si="0"/>
        <v>305</v>
      </c>
      <c r="P21" s="596">
        <f t="shared" si="0"/>
        <v>0</v>
      </c>
      <c r="Q21" s="596">
        <f t="shared" si="0"/>
        <v>665</v>
      </c>
      <c r="R21" s="596">
        <f t="shared" si="0"/>
        <v>60</v>
      </c>
      <c r="S21" s="597"/>
      <c r="T21" s="570"/>
    </row>
    <row r="22" spans="1:20" ht="15.75" thickBot="1" x14ac:dyDescent="0.3">
      <c r="A22" s="577">
        <v>12</v>
      </c>
      <c r="B22" s="561" t="s">
        <v>529</v>
      </c>
      <c r="C22" s="562">
        <v>20</v>
      </c>
      <c r="D22" s="562"/>
      <c r="E22" s="562">
        <v>40</v>
      </c>
      <c r="F22" s="562"/>
      <c r="G22" s="563">
        <v>60</v>
      </c>
      <c r="H22" s="563">
        <v>3</v>
      </c>
      <c r="K22" s="1401" t="s">
        <v>629</v>
      </c>
      <c r="L22" s="1402"/>
      <c r="M22" s="594">
        <f>SUM(M5:M6,M13:M20)</f>
        <v>200</v>
      </c>
      <c r="N22" s="594">
        <f t="shared" ref="N22:R22" si="1">SUM(N5:N6,N13:N20)</f>
        <v>120</v>
      </c>
      <c r="O22" s="594">
        <f t="shared" si="1"/>
        <v>340</v>
      </c>
      <c r="P22" s="594">
        <f t="shared" si="1"/>
        <v>0</v>
      </c>
      <c r="Q22" s="594">
        <f t="shared" si="1"/>
        <v>660</v>
      </c>
      <c r="R22" s="594">
        <f t="shared" si="1"/>
        <v>60</v>
      </c>
      <c r="S22" s="595"/>
      <c r="T22" s="570"/>
    </row>
    <row r="23" spans="1:20" ht="15.75" thickBot="1" x14ac:dyDescent="0.3">
      <c r="A23" s="579">
        <v>13</v>
      </c>
      <c r="B23" s="561" t="s">
        <v>590</v>
      </c>
      <c r="C23" s="562">
        <v>20</v>
      </c>
      <c r="D23" s="562"/>
      <c r="E23" s="562">
        <v>40</v>
      </c>
      <c r="F23" s="562"/>
      <c r="G23" s="563">
        <v>60</v>
      </c>
      <c r="H23" s="563">
        <v>4</v>
      </c>
    </row>
    <row r="24" spans="1:20" ht="15.75" thickBot="1" x14ac:dyDescent="0.3">
      <c r="A24" s="578">
        <v>14</v>
      </c>
      <c r="B24" s="561" t="s">
        <v>450</v>
      </c>
      <c r="C24" s="562"/>
      <c r="D24" s="562"/>
      <c r="E24" s="562"/>
      <c r="F24" s="562">
        <v>320</v>
      </c>
      <c r="G24" s="563">
        <v>320</v>
      </c>
      <c r="H24" s="563">
        <v>12</v>
      </c>
    </row>
    <row r="25" spans="1:20" ht="15.75" thickBot="1" x14ac:dyDescent="0.3">
      <c r="A25" s="579"/>
      <c r="B25" s="566" t="s">
        <v>628</v>
      </c>
      <c r="C25" s="567">
        <f>SUM(C4:C12,C20:C24)</f>
        <v>180</v>
      </c>
      <c r="D25" s="567">
        <f t="shared" ref="D25:H25" si="2">SUM(D4:D12,D20:D24)</f>
        <v>130</v>
      </c>
      <c r="E25" s="567">
        <f t="shared" si="2"/>
        <v>435</v>
      </c>
      <c r="F25" s="567">
        <f t="shared" si="2"/>
        <v>320</v>
      </c>
      <c r="G25" s="567">
        <f t="shared" si="2"/>
        <v>1065</v>
      </c>
      <c r="H25" s="567">
        <f t="shared" si="2"/>
        <v>60</v>
      </c>
    </row>
    <row r="26" spans="1:20" ht="15.75" thickBot="1" x14ac:dyDescent="0.3">
      <c r="A26" s="578"/>
      <c r="B26" s="568" t="s">
        <v>629</v>
      </c>
      <c r="C26" s="569">
        <f>SUM(C4:C5,C13:C24)</f>
        <v>195</v>
      </c>
      <c r="D26" s="569">
        <f t="shared" ref="D26:H26" si="3">SUM(D4:D5,D13:D24)</f>
        <v>170</v>
      </c>
      <c r="E26" s="569">
        <f>SUM(E4:E5,E13:E24)</f>
        <v>385</v>
      </c>
      <c r="F26" s="569">
        <f t="shared" si="3"/>
        <v>320</v>
      </c>
      <c r="G26" s="569">
        <f t="shared" si="3"/>
        <v>1070</v>
      </c>
      <c r="H26" s="569">
        <f t="shared" si="3"/>
        <v>60</v>
      </c>
    </row>
    <row r="40" spans="3:8" x14ac:dyDescent="0.25">
      <c r="C40">
        <v>244</v>
      </c>
      <c r="D40">
        <v>29</v>
      </c>
      <c r="G40" t="s">
        <v>631</v>
      </c>
      <c r="H40" t="s">
        <v>632</v>
      </c>
    </row>
    <row r="41" spans="3:8" x14ac:dyDescent="0.25">
      <c r="C41">
        <v>210</v>
      </c>
      <c r="D41">
        <v>32</v>
      </c>
    </row>
    <row r="42" spans="3:8" x14ac:dyDescent="0.25">
      <c r="C42">
        <v>210</v>
      </c>
      <c r="D42">
        <v>30</v>
      </c>
      <c r="G42">
        <v>15</v>
      </c>
      <c r="H42">
        <v>15</v>
      </c>
    </row>
    <row r="43" spans="3:8" x14ac:dyDescent="0.25">
      <c r="C43">
        <v>230</v>
      </c>
      <c r="D43">
        <v>34</v>
      </c>
      <c r="G43">
        <v>15</v>
      </c>
      <c r="H43">
        <v>10</v>
      </c>
    </row>
    <row r="44" spans="3:8" x14ac:dyDescent="0.25">
      <c r="C44">
        <v>200</v>
      </c>
      <c r="D44">
        <v>28</v>
      </c>
      <c r="G44">
        <v>30</v>
      </c>
    </row>
    <row r="45" spans="3:8" x14ac:dyDescent="0.25">
      <c r="C45">
        <v>200</v>
      </c>
      <c r="D45">
        <v>29</v>
      </c>
      <c r="G45">
        <v>15</v>
      </c>
    </row>
    <row r="46" spans="3:8" x14ac:dyDescent="0.25">
      <c r="C46">
        <v>180</v>
      </c>
      <c r="D46">
        <v>30</v>
      </c>
    </row>
    <row r="47" spans="3:8" x14ac:dyDescent="0.25">
      <c r="C47">
        <v>180</v>
      </c>
      <c r="D47">
        <v>31</v>
      </c>
    </row>
    <row r="48" spans="3:8" x14ac:dyDescent="0.25">
      <c r="C48">
        <v>200</v>
      </c>
      <c r="D48">
        <v>32</v>
      </c>
      <c r="G48">
        <v>30</v>
      </c>
      <c r="H48" s="628">
        <v>10</v>
      </c>
    </row>
    <row r="49" spans="3:8" x14ac:dyDescent="0.25">
      <c r="C49">
        <v>60</v>
      </c>
      <c r="D49">
        <v>25</v>
      </c>
      <c r="G49">
        <v>15</v>
      </c>
    </row>
    <row r="50" spans="3:8" x14ac:dyDescent="0.25">
      <c r="C50">
        <f>SUM(C40:C49)</f>
        <v>1914</v>
      </c>
      <c r="D50">
        <f>SUM(D40:D49)</f>
        <v>300</v>
      </c>
      <c r="G50">
        <v>5</v>
      </c>
    </row>
    <row r="53" spans="3:8" x14ac:dyDescent="0.25">
      <c r="C53">
        <v>608</v>
      </c>
      <c r="D53">
        <v>60</v>
      </c>
      <c r="G53">
        <v>30</v>
      </c>
    </row>
    <row r="54" spans="3:8" x14ac:dyDescent="0.25">
      <c r="C54">
        <v>630</v>
      </c>
      <c r="D54">
        <v>60</v>
      </c>
      <c r="G54">
        <v>30</v>
      </c>
    </row>
    <row r="55" spans="3:8" x14ac:dyDescent="0.25">
      <c r="C55">
        <v>555</v>
      </c>
      <c r="D55">
        <v>60</v>
      </c>
      <c r="H55">
        <v>5</v>
      </c>
    </row>
    <row r="56" spans="3:8" x14ac:dyDescent="0.25">
      <c r="C56">
        <v>540</v>
      </c>
      <c r="D56">
        <v>60</v>
      </c>
      <c r="G56">
        <v>30</v>
      </c>
    </row>
    <row r="57" spans="3:8" x14ac:dyDescent="0.25">
      <c r="C57">
        <v>540</v>
      </c>
      <c r="D57">
        <v>60</v>
      </c>
      <c r="G57">
        <v>30</v>
      </c>
    </row>
    <row r="58" spans="3:8" x14ac:dyDescent="0.25">
      <c r="C58">
        <f>SUM(C53:C57)</f>
        <v>2873</v>
      </c>
      <c r="D58">
        <f>SUM(D53:D57)</f>
        <v>300</v>
      </c>
      <c r="G58">
        <v>30</v>
      </c>
    </row>
    <row r="60" spans="3:8" x14ac:dyDescent="0.25">
      <c r="G60">
        <f>SUM(G42:G59)</f>
        <v>275</v>
      </c>
      <c r="H60">
        <f>SUM(H42:H59)</f>
        <v>40</v>
      </c>
    </row>
    <row r="61" spans="3:8" x14ac:dyDescent="0.25">
      <c r="G61">
        <v>285</v>
      </c>
      <c r="H61">
        <v>30</v>
      </c>
    </row>
    <row r="66" spans="1:35" ht="15.75" thickBot="1" x14ac:dyDescent="0.3"/>
    <row r="67" spans="1:35" ht="15.75" thickBot="1" x14ac:dyDescent="0.3">
      <c r="A67" s="1375" t="s">
        <v>638</v>
      </c>
      <c r="B67" s="1390" t="s">
        <v>2</v>
      </c>
      <c r="C67" s="1376" t="s">
        <v>688</v>
      </c>
      <c r="D67" s="1393"/>
      <c r="E67" s="1393"/>
      <c r="F67" s="1393"/>
      <c r="G67" s="1393"/>
      <c r="H67" s="1393"/>
      <c r="I67" s="1393"/>
      <c r="J67" s="1393"/>
      <c r="K67" s="1393"/>
      <c r="L67" s="1393"/>
      <c r="M67" s="1393"/>
      <c r="N67" s="1393"/>
      <c r="O67" s="1393"/>
      <c r="P67" s="1377"/>
      <c r="Q67" s="1394" t="s">
        <v>689</v>
      </c>
      <c r="R67" s="1395"/>
      <c r="S67" s="1395"/>
      <c r="T67" s="1395"/>
      <c r="U67" s="1395"/>
      <c r="V67" s="1395"/>
      <c r="W67" s="1395"/>
      <c r="X67" s="1395"/>
      <c r="Y67" s="1395"/>
      <c r="Z67" s="1395"/>
      <c r="AA67" s="1395"/>
      <c r="AB67" s="1395"/>
      <c r="AC67" s="1395"/>
      <c r="AD67" s="1396"/>
      <c r="AE67" s="1397" t="s">
        <v>28</v>
      </c>
      <c r="AF67" s="1393"/>
      <c r="AG67" s="1393"/>
      <c r="AH67" s="1377"/>
      <c r="AI67" s="1409" t="s">
        <v>690</v>
      </c>
    </row>
    <row r="68" spans="1:35" ht="15.75" thickBot="1" x14ac:dyDescent="0.3">
      <c r="A68" s="1373"/>
      <c r="B68" s="1391"/>
      <c r="C68" s="1383" t="s">
        <v>6</v>
      </c>
      <c r="D68" s="1383" t="s">
        <v>7</v>
      </c>
      <c r="E68" s="1383" t="s">
        <v>8</v>
      </c>
      <c r="F68" s="1383" t="s">
        <v>9</v>
      </c>
      <c r="G68" s="1383" t="s">
        <v>691</v>
      </c>
      <c r="H68" s="1383" t="s">
        <v>10</v>
      </c>
      <c r="I68" s="1383" t="s">
        <v>11</v>
      </c>
      <c r="J68" s="1383" t="s">
        <v>14</v>
      </c>
      <c r="K68" s="1383" t="s">
        <v>15</v>
      </c>
      <c r="L68" s="1383" t="s">
        <v>54</v>
      </c>
      <c r="M68" s="1383" t="s">
        <v>16</v>
      </c>
      <c r="N68" s="1375" t="s">
        <v>692</v>
      </c>
      <c r="O68" s="1375" t="s">
        <v>67</v>
      </c>
      <c r="P68" s="1375" t="s">
        <v>19</v>
      </c>
      <c r="Q68" s="1383" t="s">
        <v>6</v>
      </c>
      <c r="R68" s="1383" t="s">
        <v>7</v>
      </c>
      <c r="S68" s="1383" t="s">
        <v>20</v>
      </c>
      <c r="T68" s="1383" t="s">
        <v>9</v>
      </c>
      <c r="U68" s="1383" t="s">
        <v>691</v>
      </c>
      <c r="V68" s="1383" t="s">
        <v>10</v>
      </c>
      <c r="W68" s="1375" t="s">
        <v>11</v>
      </c>
      <c r="X68" s="1375" t="s">
        <v>14</v>
      </c>
      <c r="Y68" s="1375" t="s">
        <v>15</v>
      </c>
      <c r="Z68" s="1375" t="s">
        <v>54</v>
      </c>
      <c r="AA68" s="1375" t="s">
        <v>16</v>
      </c>
      <c r="AB68" s="1375" t="s">
        <v>692</v>
      </c>
      <c r="AC68" s="1375" t="s">
        <v>67</v>
      </c>
      <c r="AD68" s="1375" t="s">
        <v>19</v>
      </c>
      <c r="AE68" s="1378" t="s">
        <v>69</v>
      </c>
      <c r="AF68" s="1379"/>
      <c r="AG68" s="1380"/>
      <c r="AH68" s="1412" t="s">
        <v>693</v>
      </c>
      <c r="AI68" s="1410"/>
    </row>
    <row r="69" spans="1:35" ht="248.25" thickBot="1" x14ac:dyDescent="0.3">
      <c r="A69" s="1374"/>
      <c r="B69" s="1392"/>
      <c r="C69" s="1384"/>
      <c r="D69" s="1384"/>
      <c r="E69" s="1384"/>
      <c r="F69" s="1384"/>
      <c r="G69" s="1384"/>
      <c r="H69" s="1384"/>
      <c r="I69" s="1384"/>
      <c r="J69" s="1384"/>
      <c r="K69" s="1384"/>
      <c r="L69" s="1384"/>
      <c r="M69" s="1384"/>
      <c r="N69" s="1374"/>
      <c r="O69" s="1374"/>
      <c r="P69" s="1374"/>
      <c r="Q69" s="1384"/>
      <c r="R69" s="1384"/>
      <c r="S69" s="1384"/>
      <c r="T69" s="1384"/>
      <c r="U69" s="1384"/>
      <c r="V69" s="1384"/>
      <c r="W69" s="1374"/>
      <c r="X69" s="1374"/>
      <c r="Y69" s="1374"/>
      <c r="Z69" s="1374"/>
      <c r="AA69" s="1374"/>
      <c r="AB69" s="1374"/>
      <c r="AC69" s="1374"/>
      <c r="AD69" s="1374"/>
      <c r="AE69" s="630" t="s">
        <v>72</v>
      </c>
      <c r="AF69" s="630" t="s">
        <v>68</v>
      </c>
      <c r="AG69" s="630" t="s">
        <v>71</v>
      </c>
      <c r="AH69" s="1413"/>
      <c r="AI69" s="1411"/>
    </row>
    <row r="70" spans="1:35" ht="15.75" thickBot="1" x14ac:dyDescent="0.3">
      <c r="A70" s="631">
        <v>1</v>
      </c>
      <c r="B70" s="632" t="s">
        <v>460</v>
      </c>
      <c r="C70" s="633">
        <v>20</v>
      </c>
      <c r="D70" s="634"/>
      <c r="E70" s="634"/>
      <c r="F70" s="633">
        <v>20</v>
      </c>
      <c r="G70" s="634"/>
      <c r="H70" s="634"/>
      <c r="I70" s="634"/>
      <c r="J70" s="634"/>
      <c r="K70" s="634"/>
      <c r="L70" s="634"/>
      <c r="M70" s="634"/>
      <c r="N70" s="633">
        <v>40</v>
      </c>
      <c r="O70" s="635">
        <v>60</v>
      </c>
      <c r="P70" s="631">
        <v>4</v>
      </c>
      <c r="Q70" s="634"/>
      <c r="R70" s="634"/>
      <c r="S70" s="634"/>
      <c r="T70" s="634"/>
      <c r="U70" s="634"/>
      <c r="V70" s="634"/>
      <c r="W70" s="634"/>
      <c r="X70" s="634"/>
      <c r="Y70" s="634"/>
      <c r="Z70" s="634"/>
      <c r="AA70" s="634"/>
      <c r="AB70" s="633">
        <v>0</v>
      </c>
      <c r="AC70" s="636"/>
      <c r="AD70" s="637"/>
      <c r="AE70" s="638">
        <v>40</v>
      </c>
      <c r="AF70" s="638">
        <v>60</v>
      </c>
      <c r="AG70" s="638">
        <v>100</v>
      </c>
      <c r="AH70" s="638">
        <v>4</v>
      </c>
      <c r="AI70" s="634" t="s">
        <v>56</v>
      </c>
    </row>
    <row r="71" spans="1:35" ht="15.75" thickBot="1" x14ac:dyDescent="0.3">
      <c r="A71" s="631">
        <v>2</v>
      </c>
      <c r="B71" s="639" t="s">
        <v>462</v>
      </c>
      <c r="C71" s="634"/>
      <c r="D71" s="634"/>
      <c r="E71" s="634"/>
      <c r="F71" s="634"/>
      <c r="G71" s="634"/>
      <c r="H71" s="634"/>
      <c r="I71" s="634"/>
      <c r="J71" s="634"/>
      <c r="K71" s="634"/>
      <c r="L71" s="634"/>
      <c r="M71" s="634"/>
      <c r="N71" s="633">
        <v>0</v>
      </c>
      <c r="O71" s="636"/>
      <c r="P71" s="637"/>
      <c r="Q71" s="633">
        <v>30</v>
      </c>
      <c r="R71" s="634"/>
      <c r="S71" s="634"/>
      <c r="T71" s="633">
        <v>30</v>
      </c>
      <c r="U71" s="634"/>
      <c r="V71" s="634"/>
      <c r="W71" s="634"/>
      <c r="X71" s="634"/>
      <c r="Y71" s="634"/>
      <c r="Z71" s="634"/>
      <c r="AA71" s="634"/>
      <c r="AB71" s="633">
        <v>60</v>
      </c>
      <c r="AC71" s="635">
        <v>15</v>
      </c>
      <c r="AD71" s="631">
        <v>3</v>
      </c>
      <c r="AE71" s="638">
        <v>60</v>
      </c>
      <c r="AF71" s="638">
        <v>15</v>
      </c>
      <c r="AG71" s="638">
        <v>75</v>
      </c>
      <c r="AH71" s="638">
        <v>3</v>
      </c>
      <c r="AI71" s="634" t="s">
        <v>56</v>
      </c>
    </row>
    <row r="72" spans="1:35" ht="15.75" thickBot="1" x14ac:dyDescent="0.3">
      <c r="A72" s="631">
        <v>3</v>
      </c>
      <c r="B72" s="639" t="s">
        <v>454</v>
      </c>
      <c r="C72" s="634"/>
      <c r="D72" s="634"/>
      <c r="E72" s="634"/>
      <c r="F72" s="634"/>
      <c r="G72" s="634"/>
      <c r="H72" s="634"/>
      <c r="I72" s="634"/>
      <c r="J72" s="634"/>
      <c r="K72" s="634"/>
      <c r="L72" s="634"/>
      <c r="M72" s="634"/>
      <c r="N72" s="633">
        <v>0</v>
      </c>
      <c r="O72" s="636"/>
      <c r="P72" s="637"/>
      <c r="Q72" s="633">
        <v>15</v>
      </c>
      <c r="R72" s="634"/>
      <c r="S72" s="634"/>
      <c r="T72" s="633">
        <v>15</v>
      </c>
      <c r="U72" s="634"/>
      <c r="V72" s="634"/>
      <c r="W72" s="634"/>
      <c r="X72" s="634"/>
      <c r="Y72" s="634"/>
      <c r="Z72" s="634"/>
      <c r="AA72" s="634"/>
      <c r="AB72" s="633">
        <v>30</v>
      </c>
      <c r="AC72" s="635">
        <v>45</v>
      </c>
      <c r="AD72" s="631">
        <v>3</v>
      </c>
      <c r="AE72" s="638">
        <v>30</v>
      </c>
      <c r="AF72" s="638">
        <v>45</v>
      </c>
      <c r="AG72" s="638">
        <v>75</v>
      </c>
      <c r="AH72" s="638">
        <v>3</v>
      </c>
      <c r="AI72" s="634" t="s">
        <v>99</v>
      </c>
    </row>
    <row r="73" spans="1:35" ht="36.75" thickBot="1" x14ac:dyDescent="0.3">
      <c r="A73" s="631">
        <v>4</v>
      </c>
      <c r="B73" s="640" t="s">
        <v>680</v>
      </c>
      <c r="C73" s="634"/>
      <c r="D73" s="634"/>
      <c r="E73" s="634"/>
      <c r="F73" s="634"/>
      <c r="G73" s="634"/>
      <c r="H73" s="634"/>
      <c r="I73" s="634"/>
      <c r="J73" s="634"/>
      <c r="K73" s="634"/>
      <c r="L73" s="634"/>
      <c r="M73" s="634">
        <v>160</v>
      </c>
      <c r="N73" s="633">
        <v>160</v>
      </c>
      <c r="O73" s="634"/>
      <c r="P73" s="634">
        <v>6</v>
      </c>
      <c r="Q73" s="633"/>
      <c r="R73" s="634"/>
      <c r="S73" s="634"/>
      <c r="T73" s="633"/>
      <c r="U73" s="634"/>
      <c r="V73" s="634"/>
      <c r="W73" s="634"/>
      <c r="X73" s="634"/>
      <c r="Y73" s="634"/>
      <c r="Z73" s="634"/>
      <c r="AA73" s="634"/>
      <c r="AB73" s="633"/>
      <c r="AC73" s="633"/>
      <c r="AD73" s="633"/>
      <c r="AE73" s="638">
        <v>160</v>
      </c>
      <c r="AF73" s="638">
        <v>0</v>
      </c>
      <c r="AG73" s="638">
        <v>160</v>
      </c>
      <c r="AH73" s="638">
        <v>6</v>
      </c>
      <c r="AI73" s="634" t="s">
        <v>99</v>
      </c>
    </row>
    <row r="74" spans="1:35" ht="24.75" thickBot="1" x14ac:dyDescent="0.3">
      <c r="A74" s="631">
        <v>5</v>
      </c>
      <c r="B74" s="640" t="s">
        <v>681</v>
      </c>
      <c r="C74" s="634"/>
      <c r="D74" s="634"/>
      <c r="E74" s="634"/>
      <c r="F74" s="634"/>
      <c r="G74" s="634"/>
      <c r="H74" s="634"/>
      <c r="I74" s="634"/>
      <c r="J74" s="634"/>
      <c r="K74" s="634"/>
      <c r="L74" s="634"/>
      <c r="M74" s="634"/>
      <c r="N74" s="633"/>
      <c r="O74" s="634"/>
      <c r="P74" s="634"/>
      <c r="Q74" s="633"/>
      <c r="R74" s="634"/>
      <c r="S74" s="634"/>
      <c r="T74" s="633"/>
      <c r="U74" s="634"/>
      <c r="V74" s="634"/>
      <c r="W74" s="634"/>
      <c r="X74" s="634"/>
      <c r="Y74" s="634"/>
      <c r="Z74" s="634"/>
      <c r="AA74" s="634">
        <v>160</v>
      </c>
      <c r="AB74" s="633">
        <v>160</v>
      </c>
      <c r="AC74" s="633"/>
      <c r="AD74" s="633">
        <v>6</v>
      </c>
      <c r="AE74" s="638">
        <v>160</v>
      </c>
      <c r="AF74" s="638">
        <v>0</v>
      </c>
      <c r="AG74" s="638">
        <v>160</v>
      </c>
      <c r="AH74" s="638">
        <v>6</v>
      </c>
      <c r="AI74" s="634" t="s">
        <v>99</v>
      </c>
    </row>
    <row r="75" spans="1:35" ht="24.75" thickBot="1" x14ac:dyDescent="0.3">
      <c r="A75" s="631">
        <v>6</v>
      </c>
      <c r="B75" s="639" t="s">
        <v>524</v>
      </c>
      <c r="C75" s="634"/>
      <c r="D75" s="634"/>
      <c r="E75" s="634"/>
      <c r="F75" s="634"/>
      <c r="G75" s="634"/>
      <c r="H75" s="634"/>
      <c r="I75" s="634"/>
      <c r="J75" s="634"/>
      <c r="K75" s="634"/>
      <c r="L75" s="634"/>
      <c r="M75" s="634"/>
      <c r="N75" s="633">
        <v>0</v>
      </c>
      <c r="O75" s="634"/>
      <c r="P75" s="634"/>
      <c r="Q75" s="634"/>
      <c r="R75" s="634"/>
      <c r="S75" s="634"/>
      <c r="T75" s="633">
        <v>10</v>
      </c>
      <c r="U75" s="634"/>
      <c r="V75" s="634"/>
      <c r="W75" s="634"/>
      <c r="X75" s="634"/>
      <c r="Y75" s="634"/>
      <c r="Z75" s="634"/>
      <c r="AA75" s="634"/>
      <c r="AB75" s="633">
        <v>10</v>
      </c>
      <c r="AC75" s="633">
        <v>40</v>
      </c>
      <c r="AD75" s="633">
        <v>2</v>
      </c>
      <c r="AE75" s="638">
        <v>10</v>
      </c>
      <c r="AF75" s="638">
        <v>40</v>
      </c>
      <c r="AG75" s="638">
        <v>50</v>
      </c>
      <c r="AH75" s="638">
        <v>2</v>
      </c>
      <c r="AI75" s="634" t="s">
        <v>99</v>
      </c>
    </row>
    <row r="76" spans="1:35" ht="39" thickBot="1" x14ac:dyDescent="0.3">
      <c r="A76" s="631">
        <v>7</v>
      </c>
      <c r="B76" s="641" t="s">
        <v>694</v>
      </c>
      <c r="C76" s="637"/>
      <c r="D76" s="634"/>
      <c r="E76" s="634">
        <v>40</v>
      </c>
      <c r="F76" s="634"/>
      <c r="G76" s="634"/>
      <c r="H76" s="634"/>
      <c r="I76" s="634"/>
      <c r="J76" s="634"/>
      <c r="K76" s="634"/>
      <c r="L76" s="634"/>
      <c r="M76" s="634"/>
      <c r="N76" s="633">
        <v>40</v>
      </c>
      <c r="O76" s="634">
        <v>10</v>
      </c>
      <c r="P76" s="634">
        <v>2</v>
      </c>
      <c r="Q76" s="633"/>
      <c r="R76" s="634"/>
      <c r="S76" s="634"/>
      <c r="T76" s="633"/>
      <c r="U76" s="634"/>
      <c r="V76" s="634"/>
      <c r="W76" s="634"/>
      <c r="X76" s="634"/>
      <c r="Y76" s="634"/>
      <c r="Z76" s="634"/>
      <c r="AA76" s="634"/>
      <c r="AB76" s="633">
        <v>0</v>
      </c>
      <c r="AC76" s="633"/>
      <c r="AD76" s="633"/>
      <c r="AE76" s="638">
        <v>40</v>
      </c>
      <c r="AF76" s="638">
        <v>10</v>
      </c>
      <c r="AG76" s="638">
        <v>50</v>
      </c>
      <c r="AH76" s="638">
        <v>2</v>
      </c>
      <c r="AI76" s="634" t="s">
        <v>99</v>
      </c>
    </row>
    <row r="77" spans="1:35" ht="26.25" thickBot="1" x14ac:dyDescent="0.3">
      <c r="A77" s="631">
        <v>8</v>
      </c>
      <c r="B77" s="641" t="s">
        <v>656</v>
      </c>
      <c r="C77" s="637"/>
      <c r="D77" s="634"/>
      <c r="E77" s="634">
        <v>40</v>
      </c>
      <c r="F77" s="634"/>
      <c r="G77" s="634"/>
      <c r="H77" s="634"/>
      <c r="I77" s="634"/>
      <c r="J77" s="634"/>
      <c r="K77" s="634"/>
      <c r="L77" s="634"/>
      <c r="M77" s="634"/>
      <c r="N77" s="633">
        <v>40</v>
      </c>
      <c r="O77" s="634">
        <v>10</v>
      </c>
      <c r="P77" s="634">
        <v>2</v>
      </c>
      <c r="Q77" s="633"/>
      <c r="R77" s="634"/>
      <c r="S77" s="634"/>
      <c r="T77" s="633"/>
      <c r="U77" s="634"/>
      <c r="V77" s="634"/>
      <c r="W77" s="634"/>
      <c r="X77" s="634"/>
      <c r="Y77" s="634"/>
      <c r="Z77" s="634"/>
      <c r="AA77" s="634"/>
      <c r="AB77" s="633">
        <v>0</v>
      </c>
      <c r="AC77" s="633"/>
      <c r="AD77" s="633"/>
      <c r="AE77" s="638">
        <v>40</v>
      </c>
      <c r="AF77" s="638">
        <v>10</v>
      </c>
      <c r="AG77" s="638">
        <v>50</v>
      </c>
      <c r="AH77" s="638">
        <v>2</v>
      </c>
      <c r="AI77" s="634" t="s">
        <v>99</v>
      </c>
    </row>
    <row r="78" spans="1:35" ht="15.75" thickBot="1" x14ac:dyDescent="0.3">
      <c r="A78" s="631">
        <v>9</v>
      </c>
      <c r="B78" s="639" t="s">
        <v>465</v>
      </c>
      <c r="C78" s="634"/>
      <c r="D78" s="634"/>
      <c r="E78" s="634"/>
      <c r="F78" s="634"/>
      <c r="G78" s="634"/>
      <c r="H78" s="634"/>
      <c r="I78" s="634"/>
      <c r="J78" s="634"/>
      <c r="K78" s="634"/>
      <c r="L78" s="634"/>
      <c r="M78" s="634"/>
      <c r="N78" s="633">
        <v>0</v>
      </c>
      <c r="O78" s="634"/>
      <c r="P78" s="634"/>
      <c r="Q78" s="633">
        <v>20</v>
      </c>
      <c r="R78" s="634"/>
      <c r="S78" s="634"/>
      <c r="T78" s="633">
        <v>30</v>
      </c>
      <c r="U78" s="634"/>
      <c r="V78" s="634"/>
      <c r="W78" s="634"/>
      <c r="X78" s="634"/>
      <c r="Y78" s="634"/>
      <c r="Z78" s="634"/>
      <c r="AA78" s="634"/>
      <c r="AB78" s="633">
        <v>50</v>
      </c>
      <c r="AC78" s="633">
        <v>50</v>
      </c>
      <c r="AD78" s="633">
        <v>4</v>
      </c>
      <c r="AE78" s="638">
        <v>50</v>
      </c>
      <c r="AF78" s="638">
        <v>50</v>
      </c>
      <c r="AG78" s="638">
        <v>100</v>
      </c>
      <c r="AH78" s="638">
        <v>4</v>
      </c>
      <c r="AI78" s="634" t="s">
        <v>56</v>
      </c>
    </row>
    <row r="79" spans="1:35" ht="15.75" thickBot="1" x14ac:dyDescent="0.3">
      <c r="A79" s="631">
        <v>10</v>
      </c>
      <c r="B79" s="639" t="s">
        <v>523</v>
      </c>
      <c r="C79" s="634"/>
      <c r="D79" s="634"/>
      <c r="E79" s="634"/>
      <c r="F79" s="634"/>
      <c r="G79" s="634"/>
      <c r="H79" s="634"/>
      <c r="I79" s="634"/>
      <c r="J79" s="634"/>
      <c r="K79" s="634"/>
      <c r="L79" s="634"/>
      <c r="M79" s="634"/>
      <c r="N79" s="633">
        <v>0</v>
      </c>
      <c r="O79" s="636"/>
      <c r="P79" s="637"/>
      <c r="Q79" s="633">
        <v>20</v>
      </c>
      <c r="R79" s="634"/>
      <c r="S79" s="634"/>
      <c r="T79" s="633">
        <v>30</v>
      </c>
      <c r="U79" s="634"/>
      <c r="V79" s="634"/>
      <c r="W79" s="634"/>
      <c r="X79" s="634"/>
      <c r="Y79" s="634"/>
      <c r="Z79" s="634"/>
      <c r="AA79" s="634"/>
      <c r="AB79" s="633">
        <v>50</v>
      </c>
      <c r="AC79" s="633">
        <v>75</v>
      </c>
      <c r="AD79" s="633">
        <v>5</v>
      </c>
      <c r="AE79" s="638">
        <v>50</v>
      </c>
      <c r="AF79" s="638">
        <v>75</v>
      </c>
      <c r="AG79" s="638">
        <v>125</v>
      </c>
      <c r="AH79" s="638">
        <v>5</v>
      </c>
      <c r="AI79" s="634" t="s">
        <v>56</v>
      </c>
    </row>
    <row r="80" spans="1:35" ht="15.75" thickBot="1" x14ac:dyDescent="0.3">
      <c r="A80" s="631">
        <v>11</v>
      </c>
      <c r="B80" s="639" t="s">
        <v>580</v>
      </c>
      <c r="C80" s="633">
        <v>15</v>
      </c>
      <c r="D80" s="634"/>
      <c r="E80" s="633">
        <v>30</v>
      </c>
      <c r="F80" s="634"/>
      <c r="G80" s="634"/>
      <c r="H80" s="634"/>
      <c r="I80" s="634"/>
      <c r="J80" s="634"/>
      <c r="K80" s="634"/>
      <c r="L80" s="634"/>
      <c r="M80" s="634"/>
      <c r="N80" s="633">
        <v>45</v>
      </c>
      <c r="O80" s="635">
        <v>5</v>
      </c>
      <c r="P80" s="631">
        <v>2</v>
      </c>
      <c r="Q80" s="634"/>
      <c r="R80" s="634"/>
      <c r="S80" s="634"/>
      <c r="T80" s="634"/>
      <c r="U80" s="634"/>
      <c r="V80" s="634"/>
      <c r="W80" s="634"/>
      <c r="X80" s="634"/>
      <c r="Y80" s="634"/>
      <c r="Z80" s="634"/>
      <c r="AA80" s="634"/>
      <c r="AB80" s="633">
        <v>0</v>
      </c>
      <c r="AC80" s="634"/>
      <c r="AD80" s="634"/>
      <c r="AE80" s="638">
        <v>45</v>
      </c>
      <c r="AF80" s="638">
        <v>5</v>
      </c>
      <c r="AG80" s="638">
        <v>50</v>
      </c>
      <c r="AH80" s="638">
        <v>2</v>
      </c>
      <c r="AI80" s="634" t="s">
        <v>99</v>
      </c>
    </row>
    <row r="81" spans="1:35" ht="15.75" thickBot="1" x14ac:dyDescent="0.3">
      <c r="A81" s="642">
        <v>12</v>
      </c>
      <c r="B81" s="639" t="s">
        <v>586</v>
      </c>
      <c r="C81" s="634"/>
      <c r="D81" s="634"/>
      <c r="E81" s="634"/>
      <c r="F81" s="634"/>
      <c r="G81" s="634"/>
      <c r="H81" s="634"/>
      <c r="I81" s="634"/>
      <c r="J81" s="634"/>
      <c r="K81" s="634"/>
      <c r="L81" s="634"/>
      <c r="M81" s="634"/>
      <c r="N81" s="633">
        <v>0</v>
      </c>
      <c r="O81" s="636"/>
      <c r="P81" s="637"/>
      <c r="Q81" s="633">
        <v>30</v>
      </c>
      <c r="R81" s="634"/>
      <c r="S81" s="633">
        <v>30</v>
      </c>
      <c r="T81" s="634"/>
      <c r="U81" s="634"/>
      <c r="V81" s="634"/>
      <c r="W81" s="634"/>
      <c r="X81" s="634"/>
      <c r="Y81" s="634"/>
      <c r="Z81" s="634"/>
      <c r="AA81" s="634"/>
      <c r="AB81" s="633">
        <v>60</v>
      </c>
      <c r="AC81" s="635">
        <v>15</v>
      </c>
      <c r="AD81" s="631">
        <v>3</v>
      </c>
      <c r="AE81" s="638">
        <v>60</v>
      </c>
      <c r="AF81" s="638">
        <v>15</v>
      </c>
      <c r="AG81" s="638">
        <v>75</v>
      </c>
      <c r="AH81" s="638">
        <v>3</v>
      </c>
      <c r="AI81" s="634" t="s">
        <v>99</v>
      </c>
    </row>
    <row r="82" spans="1:35" ht="15.75" thickBot="1" x14ac:dyDescent="0.3">
      <c r="A82" s="643">
        <v>13</v>
      </c>
      <c r="B82" s="639" t="s">
        <v>623</v>
      </c>
      <c r="C82" s="633">
        <v>30</v>
      </c>
      <c r="D82" s="634"/>
      <c r="E82" s="634"/>
      <c r="F82" s="633">
        <v>15</v>
      </c>
      <c r="G82" s="634"/>
      <c r="H82" s="634"/>
      <c r="I82" s="634"/>
      <c r="J82" s="634"/>
      <c r="K82" s="634"/>
      <c r="L82" s="634"/>
      <c r="M82" s="634"/>
      <c r="N82" s="633">
        <v>45</v>
      </c>
      <c r="O82" s="635">
        <v>30</v>
      </c>
      <c r="P82" s="631">
        <v>3</v>
      </c>
      <c r="Q82" s="634"/>
      <c r="R82" s="634"/>
      <c r="S82" s="634"/>
      <c r="T82" s="634"/>
      <c r="U82" s="634"/>
      <c r="V82" s="634"/>
      <c r="W82" s="634"/>
      <c r="X82" s="634"/>
      <c r="Y82" s="634"/>
      <c r="Z82" s="634"/>
      <c r="AA82" s="634"/>
      <c r="AB82" s="633">
        <v>0</v>
      </c>
      <c r="AC82" s="634"/>
      <c r="AD82" s="634"/>
      <c r="AE82" s="638">
        <v>45</v>
      </c>
      <c r="AF82" s="638">
        <v>30</v>
      </c>
      <c r="AG82" s="638">
        <v>75</v>
      </c>
      <c r="AH82" s="638">
        <v>3</v>
      </c>
      <c r="AI82" s="634" t="s">
        <v>56</v>
      </c>
    </row>
    <row r="83" spans="1:35" ht="15.75" thickBot="1" x14ac:dyDescent="0.3">
      <c r="A83" s="631">
        <v>14</v>
      </c>
      <c r="B83" s="639" t="s">
        <v>464</v>
      </c>
      <c r="C83" s="634"/>
      <c r="D83" s="634"/>
      <c r="E83" s="634"/>
      <c r="F83" s="634"/>
      <c r="G83" s="634"/>
      <c r="H83" s="634"/>
      <c r="I83" s="634"/>
      <c r="J83" s="634"/>
      <c r="K83" s="634"/>
      <c r="L83" s="634"/>
      <c r="M83" s="634"/>
      <c r="N83" s="633">
        <v>0</v>
      </c>
      <c r="O83" s="636"/>
      <c r="P83" s="637"/>
      <c r="Q83" s="633">
        <v>30</v>
      </c>
      <c r="R83" s="634"/>
      <c r="S83" s="633">
        <v>30</v>
      </c>
      <c r="T83" s="634"/>
      <c r="U83" s="634"/>
      <c r="V83" s="634"/>
      <c r="W83" s="634"/>
      <c r="X83" s="634"/>
      <c r="Y83" s="634"/>
      <c r="Z83" s="634"/>
      <c r="AA83" s="634"/>
      <c r="AB83" s="633">
        <v>60</v>
      </c>
      <c r="AC83" s="633">
        <v>15</v>
      </c>
      <c r="AD83" s="633">
        <v>3</v>
      </c>
      <c r="AE83" s="638">
        <v>60</v>
      </c>
      <c r="AF83" s="638">
        <v>15</v>
      </c>
      <c r="AG83" s="638">
        <v>75</v>
      </c>
      <c r="AH83" s="638">
        <v>3</v>
      </c>
      <c r="AI83" s="634" t="s">
        <v>56</v>
      </c>
    </row>
    <row r="84" spans="1:35" ht="15.75" thickBot="1" x14ac:dyDescent="0.3">
      <c r="A84" s="631">
        <v>15</v>
      </c>
      <c r="B84" s="639" t="s">
        <v>463</v>
      </c>
      <c r="C84" s="633">
        <v>30</v>
      </c>
      <c r="D84" s="634"/>
      <c r="E84" s="634"/>
      <c r="F84" s="634"/>
      <c r="G84" s="634"/>
      <c r="H84" s="634"/>
      <c r="I84" s="633">
        <v>45</v>
      </c>
      <c r="J84" s="634"/>
      <c r="K84" s="634"/>
      <c r="L84" s="634"/>
      <c r="M84" s="634"/>
      <c r="N84" s="633">
        <v>75</v>
      </c>
      <c r="O84" s="635">
        <v>25</v>
      </c>
      <c r="P84" s="631">
        <v>4</v>
      </c>
      <c r="Q84" s="634"/>
      <c r="R84" s="634"/>
      <c r="S84" s="634"/>
      <c r="T84" s="634"/>
      <c r="U84" s="634"/>
      <c r="V84" s="634"/>
      <c r="W84" s="634"/>
      <c r="X84" s="634"/>
      <c r="Y84" s="634"/>
      <c r="Z84" s="634"/>
      <c r="AA84" s="634"/>
      <c r="AB84" s="633">
        <v>0</v>
      </c>
      <c r="AC84" s="634"/>
      <c r="AD84" s="634"/>
      <c r="AE84" s="638">
        <v>75</v>
      </c>
      <c r="AF84" s="638">
        <v>25</v>
      </c>
      <c r="AG84" s="638">
        <v>100</v>
      </c>
      <c r="AH84" s="638">
        <v>4</v>
      </c>
      <c r="AI84" s="634" t="s">
        <v>56</v>
      </c>
    </row>
    <row r="85" spans="1:35" ht="15.75" thickBot="1" x14ac:dyDescent="0.3">
      <c r="A85" s="631">
        <v>16</v>
      </c>
      <c r="B85" s="632" t="s">
        <v>496</v>
      </c>
      <c r="C85" s="634"/>
      <c r="D85" s="633">
        <v>5</v>
      </c>
      <c r="E85" s="634"/>
      <c r="F85" s="633">
        <v>30</v>
      </c>
      <c r="G85" s="634"/>
      <c r="H85" s="634"/>
      <c r="I85" s="634"/>
      <c r="J85" s="634"/>
      <c r="K85" s="634"/>
      <c r="L85" s="634"/>
      <c r="M85" s="634"/>
      <c r="N85" s="633">
        <v>35</v>
      </c>
      <c r="O85" s="635">
        <v>10</v>
      </c>
      <c r="P85" s="631">
        <v>3</v>
      </c>
      <c r="Q85" s="634"/>
      <c r="R85" s="634"/>
      <c r="S85" s="634"/>
      <c r="T85" s="633">
        <v>30</v>
      </c>
      <c r="U85" s="634"/>
      <c r="V85" s="634"/>
      <c r="W85" s="634"/>
      <c r="X85" s="634"/>
      <c r="Y85" s="634"/>
      <c r="Z85" s="634"/>
      <c r="AA85" s="634"/>
      <c r="AB85" s="633">
        <v>30</v>
      </c>
      <c r="AC85" s="634"/>
      <c r="AD85" s="634"/>
      <c r="AE85" s="638">
        <v>65</v>
      </c>
      <c r="AF85" s="638">
        <v>10</v>
      </c>
      <c r="AG85" s="638">
        <v>75</v>
      </c>
      <c r="AH85" s="638">
        <v>3</v>
      </c>
      <c r="AI85" s="634" t="s">
        <v>99</v>
      </c>
    </row>
    <row r="86" spans="1:35" ht="15.75" thickBot="1" x14ac:dyDescent="0.3">
      <c r="A86" s="631">
        <v>17</v>
      </c>
      <c r="B86" s="639" t="s">
        <v>455</v>
      </c>
      <c r="C86" s="634">
        <v>30</v>
      </c>
      <c r="D86" s="633"/>
      <c r="E86" s="634">
        <v>30</v>
      </c>
      <c r="F86" s="633"/>
      <c r="G86" s="634"/>
      <c r="H86" s="634"/>
      <c r="I86" s="634"/>
      <c r="J86" s="634"/>
      <c r="K86" s="634"/>
      <c r="L86" s="634"/>
      <c r="M86" s="634"/>
      <c r="N86" s="633">
        <v>60</v>
      </c>
      <c r="O86" s="635">
        <v>65</v>
      </c>
      <c r="P86" s="631">
        <v>5</v>
      </c>
      <c r="Q86" s="634"/>
      <c r="R86" s="634"/>
      <c r="S86" s="634"/>
      <c r="T86" s="633"/>
      <c r="U86" s="634"/>
      <c r="V86" s="634"/>
      <c r="W86" s="634"/>
      <c r="X86" s="634"/>
      <c r="Y86" s="634"/>
      <c r="Z86" s="634"/>
      <c r="AA86" s="634"/>
      <c r="AB86" s="633"/>
      <c r="AC86" s="636"/>
      <c r="AD86" s="637"/>
      <c r="AE86" s="638">
        <v>60</v>
      </c>
      <c r="AF86" s="638">
        <v>65</v>
      </c>
      <c r="AG86" s="638">
        <v>125</v>
      </c>
      <c r="AH86" s="638">
        <v>5</v>
      </c>
      <c r="AI86" s="634" t="s">
        <v>56</v>
      </c>
    </row>
    <row r="87" spans="1:35" ht="15.75" thickBot="1" x14ac:dyDescent="0.3">
      <c r="A87" s="1376" t="s">
        <v>21</v>
      </c>
      <c r="B87" s="1377"/>
      <c r="C87" s="633">
        <v>95</v>
      </c>
      <c r="D87" s="633">
        <v>5</v>
      </c>
      <c r="E87" s="633">
        <v>110</v>
      </c>
      <c r="F87" s="633">
        <v>65</v>
      </c>
      <c r="G87" s="633">
        <v>0</v>
      </c>
      <c r="H87" s="633">
        <v>0</v>
      </c>
      <c r="I87" s="633">
        <v>45</v>
      </c>
      <c r="J87" s="633">
        <v>0</v>
      </c>
      <c r="K87" s="633">
        <v>0</v>
      </c>
      <c r="L87" s="633">
        <v>0</v>
      </c>
      <c r="M87" s="633">
        <v>160</v>
      </c>
      <c r="N87" s="633">
        <v>480</v>
      </c>
      <c r="O87" s="635">
        <v>150</v>
      </c>
      <c r="P87" s="631">
        <v>26</v>
      </c>
      <c r="Q87" s="633">
        <v>175</v>
      </c>
      <c r="R87" s="633">
        <v>0</v>
      </c>
      <c r="S87" s="633">
        <v>60</v>
      </c>
      <c r="T87" s="633">
        <v>145</v>
      </c>
      <c r="U87" s="633">
        <v>0</v>
      </c>
      <c r="V87" s="633">
        <v>0</v>
      </c>
      <c r="W87" s="633">
        <v>0</v>
      </c>
      <c r="X87" s="633">
        <v>0</v>
      </c>
      <c r="Y87" s="633">
        <v>0</v>
      </c>
      <c r="Z87" s="633">
        <v>0</v>
      </c>
      <c r="AA87" s="633">
        <v>160</v>
      </c>
      <c r="AB87" s="633">
        <v>570</v>
      </c>
      <c r="AC87" s="633">
        <v>320</v>
      </c>
      <c r="AD87" s="633">
        <v>34</v>
      </c>
      <c r="AE87" s="638">
        <v>1050</v>
      </c>
      <c r="AF87" s="638">
        <v>470</v>
      </c>
      <c r="AG87" s="638">
        <v>1520</v>
      </c>
      <c r="AH87" s="638">
        <v>60</v>
      </c>
      <c r="AI87" s="634"/>
    </row>
    <row r="88" spans="1:35" x14ac:dyDescent="0.25">
      <c r="C88" s="432">
        <f>SUM(C70:C86)</f>
        <v>125</v>
      </c>
      <c r="D88" s="432">
        <f t="shared" ref="D88:AI88" si="4">SUM(D70:D86)</f>
        <v>5</v>
      </c>
      <c r="E88" s="432">
        <f t="shared" si="4"/>
        <v>140</v>
      </c>
      <c r="F88" s="432">
        <f t="shared" si="4"/>
        <v>65</v>
      </c>
      <c r="G88" s="432">
        <f t="shared" si="4"/>
        <v>0</v>
      </c>
      <c r="H88" s="432">
        <f t="shared" si="4"/>
        <v>0</v>
      </c>
      <c r="I88" s="432">
        <f t="shared" si="4"/>
        <v>45</v>
      </c>
      <c r="J88" s="432">
        <f t="shared" si="4"/>
        <v>0</v>
      </c>
      <c r="K88" s="432">
        <f t="shared" si="4"/>
        <v>0</v>
      </c>
      <c r="L88" s="432">
        <f t="shared" si="4"/>
        <v>0</v>
      </c>
      <c r="M88" s="432">
        <f t="shared" si="4"/>
        <v>160</v>
      </c>
      <c r="N88" s="432">
        <f t="shared" si="4"/>
        <v>540</v>
      </c>
      <c r="O88" s="432">
        <f t="shared" si="4"/>
        <v>215</v>
      </c>
      <c r="P88" s="432">
        <f t="shared" si="4"/>
        <v>31</v>
      </c>
      <c r="Q88" s="432">
        <f t="shared" si="4"/>
        <v>145</v>
      </c>
      <c r="R88" s="432">
        <f t="shared" si="4"/>
        <v>0</v>
      </c>
      <c r="S88" s="432">
        <f t="shared" si="4"/>
        <v>60</v>
      </c>
      <c r="T88" s="432">
        <f t="shared" si="4"/>
        <v>145</v>
      </c>
      <c r="U88" s="432">
        <f t="shared" si="4"/>
        <v>0</v>
      </c>
      <c r="V88" s="432">
        <f t="shared" si="4"/>
        <v>0</v>
      </c>
      <c r="W88" s="432">
        <f t="shared" si="4"/>
        <v>0</v>
      </c>
      <c r="X88" s="432">
        <f t="shared" si="4"/>
        <v>0</v>
      </c>
      <c r="Y88" s="432">
        <f t="shared" si="4"/>
        <v>0</v>
      </c>
      <c r="Z88" s="432">
        <f t="shared" si="4"/>
        <v>0</v>
      </c>
      <c r="AA88" s="432">
        <f t="shared" si="4"/>
        <v>160</v>
      </c>
      <c r="AB88" s="432">
        <f t="shared" si="4"/>
        <v>510</v>
      </c>
      <c r="AC88" s="432">
        <f t="shared" si="4"/>
        <v>255</v>
      </c>
      <c r="AD88" s="432">
        <f t="shared" si="4"/>
        <v>29</v>
      </c>
      <c r="AE88" s="432">
        <f t="shared" si="4"/>
        <v>1050</v>
      </c>
      <c r="AF88" s="432">
        <f t="shared" si="4"/>
        <v>470</v>
      </c>
      <c r="AG88" s="432">
        <f t="shared" si="4"/>
        <v>1520</v>
      </c>
      <c r="AH88" s="432">
        <f t="shared" si="4"/>
        <v>60</v>
      </c>
      <c r="AI88" s="432">
        <f t="shared" si="4"/>
        <v>0</v>
      </c>
    </row>
    <row r="91" spans="1:35" ht="15.75" thickBot="1" x14ac:dyDescent="0.3"/>
    <row r="92" spans="1:35" ht="15.75" thickBot="1" x14ac:dyDescent="0.3">
      <c r="A92" s="1387" t="s">
        <v>638</v>
      </c>
      <c r="B92" s="1390" t="s">
        <v>2</v>
      </c>
      <c r="C92" s="1376" t="s">
        <v>688</v>
      </c>
      <c r="D92" s="1393"/>
      <c r="E92" s="1393"/>
      <c r="F92" s="1393"/>
      <c r="G92" s="1393"/>
      <c r="H92" s="1393"/>
      <c r="I92" s="1393"/>
      <c r="J92" s="1393"/>
      <c r="K92" s="1393"/>
      <c r="L92" s="1393"/>
      <c r="M92" s="1393"/>
      <c r="N92" s="1393"/>
      <c r="O92" s="1393"/>
      <c r="P92" s="1377"/>
      <c r="Q92" s="1394" t="s">
        <v>689</v>
      </c>
      <c r="R92" s="1395"/>
      <c r="S92" s="1395"/>
      <c r="T92" s="1395"/>
      <c r="U92" s="1395"/>
      <c r="V92" s="1395"/>
      <c r="W92" s="1395"/>
      <c r="X92" s="1395"/>
      <c r="Y92" s="1395"/>
      <c r="Z92" s="1395"/>
      <c r="AA92" s="1395"/>
      <c r="AB92" s="1395"/>
      <c r="AC92" s="1395"/>
      <c r="AD92" s="1396"/>
      <c r="AE92" s="1397" t="s">
        <v>28</v>
      </c>
      <c r="AF92" s="1393"/>
      <c r="AG92" s="1393"/>
      <c r="AH92" s="1398"/>
      <c r="AI92" s="629"/>
    </row>
    <row r="93" spans="1:35" ht="15.75" thickBot="1" x14ac:dyDescent="0.3">
      <c r="A93" s="1388"/>
      <c r="B93" s="1391"/>
      <c r="C93" s="1399" t="s">
        <v>6</v>
      </c>
      <c r="D93" s="1399" t="s">
        <v>7</v>
      </c>
      <c r="E93" s="1399" t="s">
        <v>8</v>
      </c>
      <c r="F93" s="1399" t="s">
        <v>9</v>
      </c>
      <c r="G93" s="1399" t="s">
        <v>691</v>
      </c>
      <c r="H93" s="1399" t="s">
        <v>10</v>
      </c>
      <c r="I93" s="1399" t="s">
        <v>11</v>
      </c>
      <c r="J93" s="1399" t="s">
        <v>14</v>
      </c>
      <c r="K93" s="1399" t="s">
        <v>15</v>
      </c>
      <c r="L93" s="1399" t="s">
        <v>54</v>
      </c>
      <c r="M93" s="1399" t="s">
        <v>16</v>
      </c>
      <c r="N93" s="1385" t="s">
        <v>692</v>
      </c>
      <c r="O93" s="1385" t="s">
        <v>67</v>
      </c>
      <c r="P93" s="1385" t="s">
        <v>19</v>
      </c>
      <c r="Q93" s="1383" t="s">
        <v>6</v>
      </c>
      <c r="R93" s="1383" t="s">
        <v>7</v>
      </c>
      <c r="S93" s="1383" t="s">
        <v>20</v>
      </c>
      <c r="T93" s="1383" t="s">
        <v>9</v>
      </c>
      <c r="U93" s="1383" t="s">
        <v>691</v>
      </c>
      <c r="V93" s="1383" t="s">
        <v>10</v>
      </c>
      <c r="W93" s="1375" t="s">
        <v>11</v>
      </c>
      <c r="X93" s="1375" t="s">
        <v>14</v>
      </c>
      <c r="Y93" s="1375" t="s">
        <v>15</v>
      </c>
      <c r="Z93" s="1375" t="s">
        <v>54</v>
      </c>
      <c r="AA93" s="1375" t="s">
        <v>16</v>
      </c>
      <c r="AB93" s="1375" t="s">
        <v>692</v>
      </c>
      <c r="AC93" s="1375" t="s">
        <v>67</v>
      </c>
      <c r="AD93" s="1375" t="s">
        <v>19</v>
      </c>
      <c r="AE93" s="1378" t="s">
        <v>69</v>
      </c>
      <c r="AF93" s="1379"/>
      <c r="AG93" s="1380"/>
      <c r="AH93" s="1381" t="s">
        <v>693</v>
      </c>
      <c r="AI93" s="1373" t="s">
        <v>690</v>
      </c>
    </row>
    <row r="94" spans="1:35" ht="248.25" thickBot="1" x14ac:dyDescent="0.3">
      <c r="A94" s="1389"/>
      <c r="B94" s="1392"/>
      <c r="C94" s="1400"/>
      <c r="D94" s="1400"/>
      <c r="E94" s="1400"/>
      <c r="F94" s="1400"/>
      <c r="G94" s="1400"/>
      <c r="H94" s="1400"/>
      <c r="I94" s="1400"/>
      <c r="J94" s="1400"/>
      <c r="K94" s="1400"/>
      <c r="L94" s="1400"/>
      <c r="M94" s="1400"/>
      <c r="N94" s="1386"/>
      <c r="O94" s="1386"/>
      <c r="P94" s="1386"/>
      <c r="Q94" s="1384"/>
      <c r="R94" s="1384"/>
      <c r="S94" s="1384"/>
      <c r="T94" s="1384"/>
      <c r="U94" s="1384"/>
      <c r="V94" s="1384"/>
      <c r="W94" s="1374"/>
      <c r="X94" s="1374"/>
      <c r="Y94" s="1374"/>
      <c r="Z94" s="1374"/>
      <c r="AA94" s="1374"/>
      <c r="AB94" s="1374"/>
      <c r="AC94" s="1374"/>
      <c r="AD94" s="1374"/>
      <c r="AE94" s="630" t="s">
        <v>72</v>
      </c>
      <c r="AF94" s="630" t="s">
        <v>68</v>
      </c>
      <c r="AG94" s="630" t="s">
        <v>71</v>
      </c>
      <c r="AH94" s="1382"/>
      <c r="AI94" s="1374"/>
    </row>
    <row r="95" spans="1:35" ht="15.75" thickBot="1" x14ac:dyDescent="0.3">
      <c r="A95" s="631">
        <v>1</v>
      </c>
      <c r="B95" s="639" t="s">
        <v>457</v>
      </c>
      <c r="C95" s="658"/>
      <c r="D95" s="658"/>
      <c r="E95" s="658"/>
      <c r="F95" s="658"/>
      <c r="G95" s="658"/>
      <c r="H95" s="658"/>
      <c r="I95" s="658"/>
      <c r="J95" s="658"/>
      <c r="K95" s="658"/>
      <c r="L95" s="658"/>
      <c r="M95" s="658"/>
      <c r="N95" s="659">
        <v>0</v>
      </c>
      <c r="O95" s="660"/>
      <c r="P95" s="661"/>
      <c r="Q95" s="631">
        <v>20</v>
      </c>
      <c r="R95" s="634"/>
      <c r="S95" s="634"/>
      <c r="T95" s="634"/>
      <c r="U95" s="634"/>
      <c r="V95" s="634"/>
      <c r="W95" s="634"/>
      <c r="X95" s="634"/>
      <c r="Y95" s="634"/>
      <c r="Z95" s="634"/>
      <c r="AA95" s="634"/>
      <c r="AB95" s="633">
        <v>20</v>
      </c>
      <c r="AC95" s="635">
        <v>55</v>
      </c>
      <c r="AD95" s="631">
        <v>3</v>
      </c>
      <c r="AE95" s="638">
        <v>20</v>
      </c>
      <c r="AF95" s="638">
        <v>55</v>
      </c>
      <c r="AG95" s="638">
        <v>75</v>
      </c>
      <c r="AH95" s="638">
        <v>3</v>
      </c>
      <c r="AI95" s="634" t="s">
        <v>56</v>
      </c>
    </row>
    <row r="96" spans="1:35" ht="15.75" thickBot="1" x14ac:dyDescent="0.3">
      <c r="A96" s="631">
        <v>2</v>
      </c>
      <c r="B96" s="632" t="s">
        <v>648</v>
      </c>
      <c r="C96" s="658"/>
      <c r="D96" s="658"/>
      <c r="E96" s="658"/>
      <c r="F96" s="658"/>
      <c r="G96" s="658"/>
      <c r="H96" s="658"/>
      <c r="I96" s="658"/>
      <c r="J96" s="658">
        <v>30</v>
      </c>
      <c r="K96" s="658"/>
      <c r="L96" s="658"/>
      <c r="M96" s="658"/>
      <c r="N96" s="659">
        <v>30</v>
      </c>
      <c r="O96" s="660"/>
      <c r="P96" s="661">
        <v>3</v>
      </c>
      <c r="Q96" s="642"/>
      <c r="R96" s="644"/>
      <c r="S96" s="644"/>
      <c r="T96" s="644"/>
      <c r="U96" s="644"/>
      <c r="V96" s="644"/>
      <c r="W96" s="644"/>
      <c r="X96" s="644">
        <v>30</v>
      </c>
      <c r="Y96" s="644"/>
      <c r="Z96" s="644"/>
      <c r="AA96" s="644"/>
      <c r="AB96" s="633">
        <v>30</v>
      </c>
      <c r="AC96" s="645">
        <v>15</v>
      </c>
      <c r="AD96" s="642"/>
      <c r="AE96" s="638">
        <v>60</v>
      </c>
      <c r="AF96" s="638">
        <v>15</v>
      </c>
      <c r="AG96" s="638">
        <v>75</v>
      </c>
      <c r="AH96" s="638">
        <v>3</v>
      </c>
      <c r="AI96" s="634" t="s">
        <v>56</v>
      </c>
    </row>
    <row r="97" spans="1:35" ht="15.75" thickBot="1" x14ac:dyDescent="0.3">
      <c r="A97" s="631">
        <v>3</v>
      </c>
      <c r="B97" s="639" t="s">
        <v>447</v>
      </c>
      <c r="C97" s="659">
        <v>30</v>
      </c>
      <c r="D97" s="658"/>
      <c r="E97" s="658"/>
      <c r="F97" s="659">
        <v>30</v>
      </c>
      <c r="G97" s="658"/>
      <c r="H97" s="658"/>
      <c r="I97" s="658"/>
      <c r="J97" s="658"/>
      <c r="K97" s="658"/>
      <c r="L97" s="658"/>
      <c r="M97" s="658"/>
      <c r="N97" s="659">
        <v>60</v>
      </c>
      <c r="O97" s="662">
        <v>40</v>
      </c>
      <c r="P97" s="663">
        <v>4</v>
      </c>
      <c r="Q97" s="646"/>
      <c r="R97" s="647"/>
      <c r="S97" s="647"/>
      <c r="T97" s="647"/>
      <c r="U97" s="647"/>
      <c r="V97" s="647"/>
      <c r="W97" s="647"/>
      <c r="X97" s="647"/>
      <c r="Y97" s="647"/>
      <c r="Z97" s="647"/>
      <c r="AA97" s="647"/>
      <c r="AB97" s="648"/>
      <c r="AC97" s="649"/>
      <c r="AD97" s="646"/>
      <c r="AE97" s="638">
        <v>60</v>
      </c>
      <c r="AF97" s="638">
        <v>40</v>
      </c>
      <c r="AG97" s="638">
        <v>100</v>
      </c>
      <c r="AH97" s="638">
        <v>4</v>
      </c>
      <c r="AI97" s="634" t="s">
        <v>56</v>
      </c>
    </row>
    <row r="98" spans="1:35" ht="15.75" thickBot="1" x14ac:dyDescent="0.3">
      <c r="A98" s="631">
        <v>4</v>
      </c>
      <c r="B98" s="639" t="s">
        <v>453</v>
      </c>
      <c r="C98" s="658"/>
      <c r="D98" s="658"/>
      <c r="E98" s="658"/>
      <c r="F98" s="658"/>
      <c r="G98" s="658"/>
      <c r="H98" s="658"/>
      <c r="I98" s="658"/>
      <c r="J98" s="658"/>
      <c r="K98" s="658"/>
      <c r="L98" s="658"/>
      <c r="M98" s="658"/>
      <c r="N98" s="659">
        <v>0</v>
      </c>
      <c r="O98" s="660"/>
      <c r="P98" s="661"/>
      <c r="Q98" s="650">
        <v>5</v>
      </c>
      <c r="R98" s="647"/>
      <c r="S98" s="651">
        <v>5</v>
      </c>
      <c r="T98" s="647"/>
      <c r="U98" s="647"/>
      <c r="V98" s="647"/>
      <c r="W98" s="647"/>
      <c r="X98" s="647"/>
      <c r="Y98" s="651">
        <v>5</v>
      </c>
      <c r="Z98" s="647"/>
      <c r="AA98" s="647"/>
      <c r="AB98" s="633">
        <v>15</v>
      </c>
      <c r="AC98" s="652">
        <v>10</v>
      </c>
      <c r="AD98" s="650">
        <v>1</v>
      </c>
      <c r="AE98" s="638">
        <v>15</v>
      </c>
      <c r="AF98" s="638">
        <v>10</v>
      </c>
      <c r="AG98" s="638">
        <v>25</v>
      </c>
      <c r="AH98" s="638">
        <v>1</v>
      </c>
      <c r="AI98" s="634" t="s">
        <v>99</v>
      </c>
    </row>
    <row r="99" spans="1:35" ht="15.75" thickBot="1" x14ac:dyDescent="0.3">
      <c r="A99" s="631">
        <v>5</v>
      </c>
      <c r="B99" s="639" t="s">
        <v>448</v>
      </c>
      <c r="C99" s="659">
        <v>15</v>
      </c>
      <c r="D99" s="658"/>
      <c r="E99" s="659">
        <v>30</v>
      </c>
      <c r="F99" s="658"/>
      <c r="G99" s="658"/>
      <c r="H99" s="658"/>
      <c r="I99" s="658"/>
      <c r="J99" s="658"/>
      <c r="K99" s="658"/>
      <c r="L99" s="658"/>
      <c r="M99" s="658"/>
      <c r="N99" s="659">
        <v>45</v>
      </c>
      <c r="O99" s="662">
        <v>30</v>
      </c>
      <c r="P99" s="663">
        <v>3</v>
      </c>
      <c r="Q99" s="653"/>
      <c r="R99" s="654"/>
      <c r="S99" s="654"/>
      <c r="T99" s="654"/>
      <c r="U99" s="654"/>
      <c r="V99" s="654"/>
      <c r="W99" s="654"/>
      <c r="X99" s="654"/>
      <c r="Y99" s="654"/>
      <c r="Z99" s="654"/>
      <c r="AA99" s="654"/>
      <c r="AB99" s="648"/>
      <c r="AC99" s="655"/>
      <c r="AD99" s="653"/>
      <c r="AE99" s="638">
        <v>45</v>
      </c>
      <c r="AF99" s="638">
        <v>30</v>
      </c>
      <c r="AG99" s="638">
        <v>75</v>
      </c>
      <c r="AH99" s="638">
        <v>3</v>
      </c>
      <c r="AI99" s="634" t="s">
        <v>99</v>
      </c>
    </row>
    <row r="100" spans="1:35" ht="24.75" thickBot="1" x14ac:dyDescent="0.3">
      <c r="A100" s="631">
        <v>6</v>
      </c>
      <c r="B100" s="656" t="s">
        <v>678</v>
      </c>
      <c r="C100" s="659"/>
      <c r="D100" s="658"/>
      <c r="E100" s="659"/>
      <c r="F100" s="658"/>
      <c r="G100" s="658"/>
      <c r="H100" s="658"/>
      <c r="I100" s="658"/>
      <c r="J100" s="658"/>
      <c r="K100" s="658"/>
      <c r="L100" s="658"/>
      <c r="M100" s="658">
        <v>160</v>
      </c>
      <c r="N100" s="659">
        <v>160</v>
      </c>
      <c r="O100" s="659"/>
      <c r="P100" s="659">
        <v>6</v>
      </c>
      <c r="Q100" s="634"/>
      <c r="R100" s="634"/>
      <c r="S100" s="634"/>
      <c r="T100" s="634"/>
      <c r="U100" s="634"/>
      <c r="V100" s="634"/>
      <c r="W100" s="634"/>
      <c r="X100" s="634"/>
      <c r="Y100" s="634"/>
      <c r="Z100" s="634"/>
      <c r="AA100" s="634"/>
      <c r="AB100" s="633"/>
      <c r="AC100" s="634"/>
      <c r="AD100" s="634"/>
      <c r="AE100" s="638">
        <v>160</v>
      </c>
      <c r="AF100" s="638">
        <v>0</v>
      </c>
      <c r="AG100" s="638">
        <v>160</v>
      </c>
      <c r="AH100" s="638">
        <v>6</v>
      </c>
      <c r="AI100" s="634" t="s">
        <v>99</v>
      </c>
    </row>
    <row r="101" spans="1:35" ht="24.75" thickBot="1" x14ac:dyDescent="0.3">
      <c r="A101" s="631">
        <v>7</v>
      </c>
      <c r="B101" s="656" t="s">
        <v>679</v>
      </c>
      <c r="C101" s="659"/>
      <c r="D101" s="658"/>
      <c r="E101" s="659"/>
      <c r="F101" s="658"/>
      <c r="G101" s="658"/>
      <c r="H101" s="658"/>
      <c r="I101" s="658"/>
      <c r="J101" s="658"/>
      <c r="K101" s="658"/>
      <c r="L101" s="658"/>
      <c r="M101" s="658"/>
      <c r="N101" s="659"/>
      <c r="O101" s="659"/>
      <c r="P101" s="659"/>
      <c r="Q101" s="634"/>
      <c r="R101" s="634"/>
      <c r="S101" s="634"/>
      <c r="T101" s="634"/>
      <c r="U101" s="634"/>
      <c r="V101" s="634"/>
      <c r="W101" s="634"/>
      <c r="X101" s="634"/>
      <c r="Y101" s="634"/>
      <c r="Z101" s="634"/>
      <c r="AA101" s="634">
        <v>160</v>
      </c>
      <c r="AB101" s="633">
        <v>160</v>
      </c>
      <c r="AC101" s="634"/>
      <c r="AD101" s="634">
        <v>6</v>
      </c>
      <c r="AE101" s="638">
        <v>160</v>
      </c>
      <c r="AF101" s="638">
        <v>0</v>
      </c>
      <c r="AG101" s="638">
        <v>160</v>
      </c>
      <c r="AH101" s="638">
        <v>6</v>
      </c>
      <c r="AI101" s="634" t="s">
        <v>99</v>
      </c>
    </row>
    <row r="102" spans="1:35" ht="51.75" thickBot="1" x14ac:dyDescent="0.3">
      <c r="A102" s="631">
        <v>8</v>
      </c>
      <c r="B102" s="583" t="s">
        <v>652</v>
      </c>
      <c r="C102" s="659">
        <v>10</v>
      </c>
      <c r="D102" s="658"/>
      <c r="E102" s="658">
        <v>30</v>
      </c>
      <c r="F102" s="659"/>
      <c r="G102" s="658">
        <v>12</v>
      </c>
      <c r="H102" s="658"/>
      <c r="I102" s="658"/>
      <c r="J102" s="658"/>
      <c r="K102" s="658"/>
      <c r="L102" s="658"/>
      <c r="M102" s="658"/>
      <c r="N102" s="659">
        <v>40</v>
      </c>
      <c r="O102" s="659">
        <v>10</v>
      </c>
      <c r="P102" s="659">
        <v>2</v>
      </c>
      <c r="Q102" s="633"/>
      <c r="R102" s="634"/>
      <c r="S102" s="634"/>
      <c r="T102" s="633"/>
      <c r="U102" s="634"/>
      <c r="V102" s="634"/>
      <c r="W102" s="634"/>
      <c r="X102" s="634"/>
      <c r="Y102" s="634"/>
      <c r="Z102" s="634"/>
      <c r="AA102" s="634"/>
      <c r="AB102" s="633">
        <v>0</v>
      </c>
      <c r="AC102" s="633"/>
      <c r="AD102" s="633"/>
      <c r="AE102" s="638">
        <v>40</v>
      </c>
      <c r="AF102" s="638">
        <v>10</v>
      </c>
      <c r="AG102" s="638">
        <v>50</v>
      </c>
      <c r="AH102" s="638">
        <v>2</v>
      </c>
      <c r="AI102" s="634" t="s">
        <v>99</v>
      </c>
    </row>
    <row r="103" spans="1:35" ht="39" thickBot="1" x14ac:dyDescent="0.3">
      <c r="A103" s="631">
        <v>9</v>
      </c>
      <c r="B103" s="583" t="s">
        <v>653</v>
      </c>
      <c r="C103" s="659"/>
      <c r="D103" s="658"/>
      <c r="E103" s="658"/>
      <c r="F103" s="659"/>
      <c r="G103" s="658"/>
      <c r="H103" s="658"/>
      <c r="I103" s="658"/>
      <c r="J103" s="658"/>
      <c r="K103" s="658"/>
      <c r="L103" s="658"/>
      <c r="M103" s="658"/>
      <c r="N103" s="659">
        <v>0</v>
      </c>
      <c r="O103" s="662"/>
      <c r="P103" s="663"/>
      <c r="Q103" s="631">
        <v>10</v>
      </c>
      <c r="R103" s="634"/>
      <c r="S103" s="634">
        <v>30</v>
      </c>
      <c r="T103" s="633"/>
      <c r="U103" s="634"/>
      <c r="V103" s="634"/>
      <c r="W103" s="634"/>
      <c r="X103" s="634"/>
      <c r="Y103" s="634"/>
      <c r="Z103" s="634"/>
      <c r="AA103" s="634"/>
      <c r="AB103" s="633">
        <v>40</v>
      </c>
      <c r="AC103" s="635">
        <v>10</v>
      </c>
      <c r="AD103" s="631">
        <v>2</v>
      </c>
      <c r="AE103" s="638">
        <v>40</v>
      </c>
      <c r="AF103" s="638">
        <v>10</v>
      </c>
      <c r="AG103" s="638">
        <v>50</v>
      </c>
      <c r="AH103" s="638">
        <v>2</v>
      </c>
      <c r="AI103" s="634" t="s">
        <v>99</v>
      </c>
    </row>
    <row r="104" spans="1:35" ht="51.75" thickBot="1" x14ac:dyDescent="0.3">
      <c r="A104" s="631">
        <v>10</v>
      </c>
      <c r="B104" s="583" t="s">
        <v>654</v>
      </c>
      <c r="C104" s="659"/>
      <c r="D104" s="658"/>
      <c r="E104" s="658"/>
      <c r="F104" s="659"/>
      <c r="G104" s="658"/>
      <c r="H104" s="658"/>
      <c r="I104" s="658"/>
      <c r="J104" s="658"/>
      <c r="K104" s="658"/>
      <c r="L104" s="658"/>
      <c r="M104" s="658"/>
      <c r="N104" s="659">
        <v>0</v>
      </c>
      <c r="O104" s="662"/>
      <c r="P104" s="663"/>
      <c r="Q104" s="631">
        <v>10</v>
      </c>
      <c r="R104" s="634"/>
      <c r="S104" s="634">
        <v>30</v>
      </c>
      <c r="T104" s="633"/>
      <c r="U104" s="634"/>
      <c r="V104" s="634"/>
      <c r="W104" s="634"/>
      <c r="X104" s="634"/>
      <c r="Y104" s="634"/>
      <c r="Z104" s="634"/>
      <c r="AA104" s="634"/>
      <c r="AB104" s="633">
        <v>40</v>
      </c>
      <c r="AC104" s="635">
        <v>10</v>
      </c>
      <c r="AD104" s="631">
        <v>2</v>
      </c>
      <c r="AE104" s="638">
        <v>40</v>
      </c>
      <c r="AF104" s="638">
        <v>10</v>
      </c>
      <c r="AG104" s="638">
        <v>50</v>
      </c>
      <c r="AH104" s="638">
        <v>2</v>
      </c>
      <c r="AI104" s="634" t="s">
        <v>99</v>
      </c>
    </row>
    <row r="105" spans="1:35" ht="15.75" thickBot="1" x14ac:dyDescent="0.3">
      <c r="A105" s="631">
        <v>11</v>
      </c>
      <c r="B105" s="632" t="s">
        <v>695</v>
      </c>
      <c r="C105" s="659">
        <v>30</v>
      </c>
      <c r="D105" s="658"/>
      <c r="E105" s="658"/>
      <c r="F105" s="659">
        <v>30</v>
      </c>
      <c r="G105" s="658"/>
      <c r="H105" s="658"/>
      <c r="I105" s="658"/>
      <c r="J105" s="658"/>
      <c r="K105" s="658"/>
      <c r="L105" s="658"/>
      <c r="M105" s="658"/>
      <c r="N105" s="659">
        <v>60</v>
      </c>
      <c r="O105" s="662">
        <v>15</v>
      </c>
      <c r="P105" s="663">
        <v>3</v>
      </c>
      <c r="Q105" s="631">
        <v>30</v>
      </c>
      <c r="R105" s="634"/>
      <c r="S105" s="634"/>
      <c r="T105" s="633">
        <v>30</v>
      </c>
      <c r="U105" s="634"/>
      <c r="V105" s="634"/>
      <c r="W105" s="634"/>
      <c r="X105" s="634"/>
      <c r="Y105" s="634"/>
      <c r="Z105" s="634"/>
      <c r="AA105" s="634"/>
      <c r="AB105" s="633">
        <v>60</v>
      </c>
      <c r="AC105" s="635">
        <v>15</v>
      </c>
      <c r="AD105" s="631">
        <v>3</v>
      </c>
      <c r="AE105" s="638">
        <v>120</v>
      </c>
      <c r="AF105" s="638">
        <v>30</v>
      </c>
      <c r="AG105" s="638">
        <v>150</v>
      </c>
      <c r="AH105" s="638">
        <v>6</v>
      </c>
      <c r="AI105" s="634" t="s">
        <v>56</v>
      </c>
    </row>
    <row r="106" spans="1:35" ht="15.75" thickBot="1" x14ac:dyDescent="0.3">
      <c r="A106" s="631">
        <v>12</v>
      </c>
      <c r="B106" s="639" t="s">
        <v>456</v>
      </c>
      <c r="C106" s="658"/>
      <c r="D106" s="658"/>
      <c r="E106" s="658"/>
      <c r="F106" s="658"/>
      <c r="G106" s="658"/>
      <c r="H106" s="658"/>
      <c r="I106" s="658"/>
      <c r="J106" s="658"/>
      <c r="K106" s="658"/>
      <c r="L106" s="658"/>
      <c r="M106" s="658"/>
      <c r="N106" s="659">
        <v>0</v>
      </c>
      <c r="O106" s="660"/>
      <c r="P106" s="661"/>
      <c r="Q106" s="631">
        <v>30</v>
      </c>
      <c r="R106" s="634"/>
      <c r="S106" s="634"/>
      <c r="T106" s="633">
        <v>40</v>
      </c>
      <c r="U106" s="634"/>
      <c r="V106" s="634"/>
      <c r="W106" s="634"/>
      <c r="X106" s="634"/>
      <c r="Y106" s="634"/>
      <c r="Z106" s="634"/>
      <c r="AA106" s="634"/>
      <c r="AB106" s="633">
        <v>70</v>
      </c>
      <c r="AC106" s="635">
        <v>55</v>
      </c>
      <c r="AD106" s="631">
        <v>5</v>
      </c>
      <c r="AE106" s="638">
        <v>70</v>
      </c>
      <c r="AF106" s="638">
        <v>55</v>
      </c>
      <c r="AG106" s="638">
        <v>125</v>
      </c>
      <c r="AH106" s="638">
        <v>5</v>
      </c>
      <c r="AI106" s="634" t="s">
        <v>56</v>
      </c>
    </row>
    <row r="107" spans="1:35" ht="15.75" thickBot="1" x14ac:dyDescent="0.3">
      <c r="A107" s="631">
        <v>13</v>
      </c>
      <c r="B107" s="639" t="s">
        <v>446</v>
      </c>
      <c r="C107" s="659">
        <v>30</v>
      </c>
      <c r="D107" s="658"/>
      <c r="E107" s="658"/>
      <c r="F107" s="659">
        <v>30</v>
      </c>
      <c r="G107" s="658"/>
      <c r="H107" s="658"/>
      <c r="I107" s="658"/>
      <c r="J107" s="658"/>
      <c r="K107" s="658"/>
      <c r="L107" s="658"/>
      <c r="M107" s="658"/>
      <c r="N107" s="659">
        <v>60</v>
      </c>
      <c r="O107" s="662">
        <v>40</v>
      </c>
      <c r="P107" s="663">
        <v>4</v>
      </c>
      <c r="Q107" s="637"/>
      <c r="R107" s="634"/>
      <c r="S107" s="634"/>
      <c r="T107" s="634"/>
      <c r="U107" s="634"/>
      <c r="V107" s="634"/>
      <c r="W107" s="634"/>
      <c r="X107" s="634"/>
      <c r="Y107" s="634"/>
      <c r="Z107" s="634"/>
      <c r="AA107" s="634"/>
      <c r="AB107" s="633">
        <v>0</v>
      </c>
      <c r="AC107" s="636"/>
      <c r="AD107" s="637"/>
      <c r="AE107" s="638">
        <v>60</v>
      </c>
      <c r="AF107" s="638">
        <v>40</v>
      </c>
      <c r="AG107" s="638">
        <v>100</v>
      </c>
      <c r="AH107" s="638">
        <v>4</v>
      </c>
      <c r="AI107" s="634" t="s">
        <v>56</v>
      </c>
    </row>
    <row r="108" spans="1:35" ht="15.75" thickBot="1" x14ac:dyDescent="0.3">
      <c r="A108" s="631">
        <v>14</v>
      </c>
      <c r="B108" s="657" t="s">
        <v>461</v>
      </c>
      <c r="C108" s="659"/>
      <c r="D108" s="658"/>
      <c r="E108" s="658"/>
      <c r="F108" s="659"/>
      <c r="G108" s="658"/>
      <c r="H108" s="658"/>
      <c r="I108" s="658"/>
      <c r="J108" s="658"/>
      <c r="K108" s="658"/>
      <c r="L108" s="658"/>
      <c r="M108" s="658"/>
      <c r="N108" s="659"/>
      <c r="O108" s="659"/>
      <c r="P108" s="659"/>
      <c r="Q108" s="658">
        <v>30</v>
      </c>
      <c r="R108" s="658"/>
      <c r="S108" s="658"/>
      <c r="T108" s="658">
        <v>40</v>
      </c>
      <c r="U108" s="658"/>
      <c r="V108" s="658"/>
      <c r="W108" s="658"/>
      <c r="X108" s="658"/>
      <c r="Y108" s="658"/>
      <c r="Z108" s="658"/>
      <c r="AA108" s="658"/>
      <c r="AB108" s="659">
        <v>70</v>
      </c>
      <c r="AC108" s="658">
        <v>55</v>
      </c>
      <c r="AD108" s="658">
        <v>5</v>
      </c>
      <c r="AE108" s="638">
        <v>70</v>
      </c>
      <c r="AF108" s="638">
        <v>55</v>
      </c>
      <c r="AG108" s="638">
        <v>125</v>
      </c>
      <c r="AH108" s="638">
        <v>5</v>
      </c>
      <c r="AI108" s="634" t="s">
        <v>56</v>
      </c>
    </row>
    <row r="109" spans="1:35" ht="15.75" thickBot="1" x14ac:dyDescent="0.3">
      <c r="A109" s="631">
        <v>15</v>
      </c>
      <c r="B109" s="639" t="s">
        <v>696</v>
      </c>
      <c r="C109" s="659">
        <v>25</v>
      </c>
      <c r="D109" s="658"/>
      <c r="E109" s="658"/>
      <c r="F109" s="659">
        <v>25</v>
      </c>
      <c r="G109" s="658"/>
      <c r="H109" s="658"/>
      <c r="I109" s="658"/>
      <c r="J109" s="658"/>
      <c r="K109" s="658"/>
      <c r="L109" s="658"/>
      <c r="M109" s="658"/>
      <c r="N109" s="659">
        <v>50</v>
      </c>
      <c r="O109" s="660"/>
      <c r="P109" s="663">
        <v>2</v>
      </c>
      <c r="Q109" s="631">
        <v>25</v>
      </c>
      <c r="R109" s="634"/>
      <c r="S109" s="634"/>
      <c r="T109" s="633">
        <v>25</v>
      </c>
      <c r="U109" s="634"/>
      <c r="V109" s="634"/>
      <c r="W109" s="634"/>
      <c r="X109" s="634"/>
      <c r="Y109" s="634"/>
      <c r="Z109" s="634"/>
      <c r="AA109" s="634"/>
      <c r="AB109" s="633">
        <v>50</v>
      </c>
      <c r="AC109" s="635">
        <v>25</v>
      </c>
      <c r="AD109" s="631">
        <v>3</v>
      </c>
      <c r="AE109" s="638">
        <v>100</v>
      </c>
      <c r="AF109" s="638">
        <v>25</v>
      </c>
      <c r="AG109" s="638">
        <v>125</v>
      </c>
      <c r="AH109" s="638">
        <v>5</v>
      </c>
      <c r="AI109" s="634" t="s">
        <v>56</v>
      </c>
    </row>
    <row r="110" spans="1:35" ht="15.75" thickBot="1" x14ac:dyDescent="0.3">
      <c r="A110" s="631">
        <v>16</v>
      </c>
      <c r="B110" s="632" t="s">
        <v>449</v>
      </c>
      <c r="C110" s="659">
        <v>30</v>
      </c>
      <c r="D110" s="659">
        <v>20</v>
      </c>
      <c r="E110" s="658"/>
      <c r="F110" s="658"/>
      <c r="G110" s="658"/>
      <c r="H110" s="658"/>
      <c r="I110" s="658"/>
      <c r="J110" s="658"/>
      <c r="K110" s="658"/>
      <c r="L110" s="658"/>
      <c r="M110" s="658"/>
      <c r="N110" s="659">
        <v>50</v>
      </c>
      <c r="O110" s="662">
        <v>25</v>
      </c>
      <c r="P110" s="663">
        <v>3</v>
      </c>
      <c r="Q110" s="637"/>
      <c r="R110" s="634"/>
      <c r="S110" s="634"/>
      <c r="T110" s="634"/>
      <c r="U110" s="634"/>
      <c r="V110" s="634"/>
      <c r="W110" s="634"/>
      <c r="X110" s="634"/>
      <c r="Y110" s="634"/>
      <c r="Z110" s="634"/>
      <c r="AA110" s="634"/>
      <c r="AB110" s="633">
        <v>0</v>
      </c>
      <c r="AC110" s="636"/>
      <c r="AD110" s="637"/>
      <c r="AE110" s="638">
        <v>50</v>
      </c>
      <c r="AF110" s="638">
        <v>25</v>
      </c>
      <c r="AG110" s="638">
        <v>75</v>
      </c>
      <c r="AH110" s="638">
        <v>3</v>
      </c>
      <c r="AI110" s="634" t="s">
        <v>56</v>
      </c>
    </row>
    <row r="111" spans="1:35" ht="15.75" thickBot="1" x14ac:dyDescent="0.3">
      <c r="A111" s="1376" t="s">
        <v>21</v>
      </c>
      <c r="B111" s="1377"/>
      <c r="C111" s="659">
        <v>200</v>
      </c>
      <c r="D111" s="659">
        <v>20</v>
      </c>
      <c r="E111" s="659">
        <v>60</v>
      </c>
      <c r="F111" s="659">
        <v>155</v>
      </c>
      <c r="G111" s="659">
        <v>0</v>
      </c>
      <c r="H111" s="659">
        <v>0</v>
      </c>
      <c r="I111" s="659">
        <v>0</v>
      </c>
      <c r="J111" s="659">
        <v>30</v>
      </c>
      <c r="K111" s="659">
        <v>0</v>
      </c>
      <c r="L111" s="659">
        <v>0</v>
      </c>
      <c r="M111" s="659">
        <v>160</v>
      </c>
      <c r="N111" s="659">
        <v>625</v>
      </c>
      <c r="O111" s="662">
        <v>215</v>
      </c>
      <c r="P111" s="663">
        <v>35</v>
      </c>
      <c r="Q111" s="631">
        <v>130</v>
      </c>
      <c r="R111" s="633">
        <v>0</v>
      </c>
      <c r="S111" s="633">
        <v>65</v>
      </c>
      <c r="T111" s="633">
        <v>95</v>
      </c>
      <c r="U111" s="633">
        <v>0</v>
      </c>
      <c r="V111" s="633">
        <v>0</v>
      </c>
      <c r="W111" s="633">
        <v>0</v>
      </c>
      <c r="X111" s="633">
        <v>30</v>
      </c>
      <c r="Y111" s="633">
        <v>5</v>
      </c>
      <c r="Z111" s="633">
        <v>0</v>
      </c>
      <c r="AA111" s="633">
        <v>160</v>
      </c>
      <c r="AB111" s="633">
        <v>485</v>
      </c>
      <c r="AC111" s="633">
        <v>195</v>
      </c>
      <c r="AD111" s="633">
        <v>25</v>
      </c>
      <c r="AE111" s="638">
        <v>1110</v>
      </c>
      <c r="AF111" s="638">
        <v>410</v>
      </c>
      <c r="AG111" s="638">
        <v>1520</v>
      </c>
      <c r="AH111" s="638">
        <v>60</v>
      </c>
      <c r="AI111" s="634"/>
    </row>
    <row r="112" spans="1:35" x14ac:dyDescent="0.25">
      <c r="C112" s="432">
        <f>SUM(C95:C110)</f>
        <v>170</v>
      </c>
      <c r="D112" s="432">
        <f t="shared" ref="D112:AH112" si="5">SUM(D95:D110)</f>
        <v>20</v>
      </c>
      <c r="E112" s="432">
        <f t="shared" si="5"/>
        <v>60</v>
      </c>
      <c r="F112" s="432">
        <f t="shared" si="5"/>
        <v>115</v>
      </c>
      <c r="G112" s="432">
        <f t="shared" si="5"/>
        <v>12</v>
      </c>
      <c r="H112" s="432">
        <f t="shared" si="5"/>
        <v>0</v>
      </c>
      <c r="I112" s="432">
        <f t="shared" si="5"/>
        <v>0</v>
      </c>
      <c r="J112" s="432">
        <f t="shared" si="5"/>
        <v>30</v>
      </c>
      <c r="K112" s="432">
        <f t="shared" si="5"/>
        <v>0</v>
      </c>
      <c r="L112" s="432">
        <f t="shared" si="5"/>
        <v>0</v>
      </c>
      <c r="M112" s="432">
        <f t="shared" si="5"/>
        <v>160</v>
      </c>
      <c r="N112" s="432">
        <f t="shared" si="5"/>
        <v>555</v>
      </c>
      <c r="O112" s="664">
        <f t="shared" si="5"/>
        <v>160</v>
      </c>
      <c r="P112" s="432">
        <f t="shared" si="5"/>
        <v>30</v>
      </c>
      <c r="Q112" s="432">
        <f t="shared" si="5"/>
        <v>160</v>
      </c>
      <c r="R112" s="432">
        <f t="shared" si="5"/>
        <v>0</v>
      </c>
      <c r="S112" s="432">
        <f t="shared" si="5"/>
        <v>65</v>
      </c>
      <c r="T112" s="432">
        <f t="shared" si="5"/>
        <v>135</v>
      </c>
      <c r="U112" s="432">
        <f t="shared" si="5"/>
        <v>0</v>
      </c>
      <c r="V112" s="432">
        <f t="shared" si="5"/>
        <v>0</v>
      </c>
      <c r="W112" s="432">
        <f t="shared" si="5"/>
        <v>0</v>
      </c>
      <c r="X112" s="432">
        <f t="shared" si="5"/>
        <v>30</v>
      </c>
      <c r="Y112" s="432">
        <f t="shared" si="5"/>
        <v>5</v>
      </c>
      <c r="Z112" s="432">
        <f t="shared" si="5"/>
        <v>0</v>
      </c>
      <c r="AA112" s="432">
        <f t="shared" si="5"/>
        <v>160</v>
      </c>
      <c r="AB112" s="432">
        <f t="shared" si="5"/>
        <v>555</v>
      </c>
      <c r="AC112" s="664">
        <f t="shared" si="5"/>
        <v>250</v>
      </c>
      <c r="AD112" s="432">
        <f t="shared" si="5"/>
        <v>30</v>
      </c>
      <c r="AE112" s="432">
        <f t="shared" si="5"/>
        <v>1110</v>
      </c>
      <c r="AF112" s="432">
        <f t="shared" si="5"/>
        <v>410</v>
      </c>
      <c r="AG112" s="432">
        <f t="shared" si="5"/>
        <v>1520</v>
      </c>
      <c r="AH112" s="432">
        <f t="shared" si="5"/>
        <v>60</v>
      </c>
    </row>
    <row r="116" spans="9:43" ht="15.75" thickBot="1" x14ac:dyDescent="0.3"/>
    <row r="117" spans="9:43" ht="15.75" thickBot="1" x14ac:dyDescent="0.3">
      <c r="I117" s="1387" t="s">
        <v>638</v>
      </c>
      <c r="J117" s="1390" t="s">
        <v>2</v>
      </c>
      <c r="K117" s="1376" t="s">
        <v>688</v>
      </c>
      <c r="L117" s="1393"/>
      <c r="M117" s="1393"/>
      <c r="N117" s="1393"/>
      <c r="O117" s="1393"/>
      <c r="P117" s="1393"/>
      <c r="Q117" s="1393"/>
      <c r="R117" s="1393"/>
      <c r="S117" s="1393"/>
      <c r="T117" s="1393"/>
      <c r="U117" s="1393"/>
      <c r="V117" s="1393"/>
      <c r="W117" s="1393"/>
      <c r="X117" s="1377"/>
      <c r="Y117" s="1394" t="s">
        <v>689</v>
      </c>
      <c r="Z117" s="1395"/>
      <c r="AA117" s="1395"/>
      <c r="AB117" s="1395"/>
      <c r="AC117" s="1395"/>
      <c r="AD117" s="1395"/>
      <c r="AE117" s="1395"/>
      <c r="AF117" s="1395"/>
      <c r="AG117" s="1395"/>
      <c r="AH117" s="1395"/>
      <c r="AI117" s="1395"/>
      <c r="AJ117" s="1395"/>
      <c r="AK117" s="1395"/>
      <c r="AL117" s="1396"/>
      <c r="AM117" s="1397" t="s">
        <v>28</v>
      </c>
      <c r="AN117" s="1393"/>
      <c r="AO117" s="1393"/>
      <c r="AP117" s="1398"/>
      <c r="AQ117" s="629"/>
    </row>
    <row r="118" spans="9:43" ht="15.75" thickBot="1" x14ac:dyDescent="0.3">
      <c r="I118" s="1388"/>
      <c r="J118" s="1391"/>
      <c r="K118" s="1383" t="s">
        <v>6</v>
      </c>
      <c r="L118" s="1383" t="s">
        <v>7</v>
      </c>
      <c r="M118" s="1383" t="s">
        <v>8</v>
      </c>
      <c r="N118" s="1383" t="s">
        <v>9</v>
      </c>
      <c r="O118" s="1383" t="s">
        <v>691</v>
      </c>
      <c r="P118" s="1383" t="s">
        <v>10</v>
      </c>
      <c r="Q118" s="1383" t="s">
        <v>11</v>
      </c>
      <c r="R118" s="1383" t="s">
        <v>14</v>
      </c>
      <c r="S118" s="1383" t="s">
        <v>15</v>
      </c>
      <c r="T118" s="1383" t="s">
        <v>54</v>
      </c>
      <c r="U118" s="1383" t="s">
        <v>16</v>
      </c>
      <c r="V118" s="1375" t="s">
        <v>692</v>
      </c>
      <c r="W118" s="1375" t="s">
        <v>67</v>
      </c>
      <c r="X118" s="1375" t="s">
        <v>19</v>
      </c>
      <c r="Y118" s="1383" t="s">
        <v>6</v>
      </c>
      <c r="Z118" s="1383" t="s">
        <v>7</v>
      </c>
      <c r="AA118" s="1383" t="s">
        <v>20</v>
      </c>
      <c r="AB118" s="1383" t="s">
        <v>9</v>
      </c>
      <c r="AC118" s="1383" t="s">
        <v>691</v>
      </c>
      <c r="AD118" s="1383" t="s">
        <v>10</v>
      </c>
      <c r="AE118" s="1375" t="s">
        <v>11</v>
      </c>
      <c r="AF118" s="1375" t="s">
        <v>14</v>
      </c>
      <c r="AG118" s="1375" t="s">
        <v>15</v>
      </c>
      <c r="AH118" s="1375" t="s">
        <v>54</v>
      </c>
      <c r="AI118" s="1375" t="s">
        <v>16</v>
      </c>
      <c r="AJ118" s="1375" t="s">
        <v>692</v>
      </c>
      <c r="AK118" s="1375" t="s">
        <v>67</v>
      </c>
      <c r="AL118" s="1375" t="s">
        <v>19</v>
      </c>
      <c r="AM118" s="1378" t="s">
        <v>69</v>
      </c>
      <c r="AN118" s="1379"/>
      <c r="AO118" s="1380"/>
      <c r="AP118" s="1381" t="s">
        <v>693</v>
      </c>
      <c r="AQ118" s="1373" t="s">
        <v>690</v>
      </c>
    </row>
    <row r="119" spans="9:43" ht="31.5" customHeight="1" thickBot="1" x14ac:dyDescent="0.3">
      <c r="I119" s="1389"/>
      <c r="J119" s="1392"/>
      <c r="K119" s="1384"/>
      <c r="L119" s="1384"/>
      <c r="M119" s="1384"/>
      <c r="N119" s="1384"/>
      <c r="O119" s="1384"/>
      <c r="P119" s="1384"/>
      <c r="Q119" s="1384"/>
      <c r="R119" s="1384"/>
      <c r="S119" s="1384"/>
      <c r="T119" s="1384"/>
      <c r="U119" s="1384"/>
      <c r="V119" s="1374"/>
      <c r="W119" s="1374"/>
      <c r="X119" s="1374"/>
      <c r="Y119" s="1384"/>
      <c r="Z119" s="1384"/>
      <c r="AA119" s="1384"/>
      <c r="AB119" s="1384"/>
      <c r="AC119" s="1384"/>
      <c r="AD119" s="1384"/>
      <c r="AE119" s="1374"/>
      <c r="AF119" s="1374"/>
      <c r="AG119" s="1374"/>
      <c r="AH119" s="1374"/>
      <c r="AI119" s="1374"/>
      <c r="AJ119" s="1374"/>
      <c r="AK119" s="1374"/>
      <c r="AL119" s="1374"/>
      <c r="AM119" s="630" t="s">
        <v>72</v>
      </c>
      <c r="AN119" s="630" t="s">
        <v>68</v>
      </c>
      <c r="AO119" s="630" t="s">
        <v>71</v>
      </c>
      <c r="AP119" s="1382"/>
      <c r="AQ119" s="1374"/>
    </row>
    <row r="120" spans="9:43" ht="31.5" customHeight="1" thickBot="1" x14ac:dyDescent="0.3">
      <c r="I120" s="631">
        <v>1</v>
      </c>
      <c r="J120" s="639" t="s">
        <v>457</v>
      </c>
      <c r="K120" s="634"/>
      <c r="L120" s="634"/>
      <c r="M120" s="634"/>
      <c r="N120" s="634"/>
      <c r="O120" s="634"/>
      <c r="P120" s="634"/>
      <c r="Q120" s="634"/>
      <c r="R120" s="634"/>
      <c r="S120" s="634"/>
      <c r="T120" s="634"/>
      <c r="U120" s="634"/>
      <c r="V120" s="633">
        <v>0</v>
      </c>
      <c r="W120" s="636"/>
      <c r="X120" s="696"/>
      <c r="Y120" s="631">
        <v>20</v>
      </c>
      <c r="Z120" s="634"/>
      <c r="AA120" s="634"/>
      <c r="AB120" s="634"/>
      <c r="AC120" s="634"/>
      <c r="AD120" s="634"/>
      <c r="AE120" s="634"/>
      <c r="AF120" s="634"/>
      <c r="AG120" s="634"/>
      <c r="AH120" s="634"/>
      <c r="AI120" s="634"/>
      <c r="AJ120" s="633">
        <v>20</v>
      </c>
      <c r="AK120" s="635">
        <v>55</v>
      </c>
      <c r="AL120" s="631">
        <v>3</v>
      </c>
      <c r="AM120" s="638">
        <v>20</v>
      </c>
      <c r="AN120" s="638">
        <v>55</v>
      </c>
      <c r="AO120" s="638">
        <v>75</v>
      </c>
      <c r="AP120" s="638">
        <v>3</v>
      </c>
      <c r="AQ120" s="634" t="s">
        <v>56</v>
      </c>
    </row>
    <row r="121" spans="9:43" ht="31.5" customHeight="1" thickBot="1" x14ac:dyDescent="0.3">
      <c r="I121" s="631">
        <v>2</v>
      </c>
      <c r="J121" s="632" t="s">
        <v>648</v>
      </c>
      <c r="K121" s="634"/>
      <c r="L121" s="634"/>
      <c r="M121" s="634"/>
      <c r="N121" s="634"/>
      <c r="O121" s="634"/>
      <c r="P121" s="634"/>
      <c r="Q121" s="634"/>
      <c r="R121" s="634">
        <v>30</v>
      </c>
      <c r="S121" s="634"/>
      <c r="T121" s="634"/>
      <c r="U121" s="634"/>
      <c r="V121" s="633">
        <v>30</v>
      </c>
      <c r="W121" s="636"/>
      <c r="X121" s="696">
        <v>3</v>
      </c>
      <c r="Y121" s="642"/>
      <c r="Z121" s="644"/>
      <c r="AA121" s="644"/>
      <c r="AB121" s="644"/>
      <c r="AC121" s="644"/>
      <c r="AD121" s="644"/>
      <c r="AE121" s="644"/>
      <c r="AF121" s="644">
        <v>30</v>
      </c>
      <c r="AG121" s="644"/>
      <c r="AH121" s="644"/>
      <c r="AI121" s="644"/>
      <c r="AJ121" s="633">
        <v>30</v>
      </c>
      <c r="AK121" s="645">
        <v>15</v>
      </c>
      <c r="AL121" s="642"/>
      <c r="AM121" s="638">
        <v>60</v>
      </c>
      <c r="AN121" s="638">
        <v>15</v>
      </c>
      <c r="AO121" s="638">
        <v>75</v>
      </c>
      <c r="AP121" s="638">
        <v>3</v>
      </c>
      <c r="AQ121" s="634" t="s">
        <v>56</v>
      </c>
    </row>
    <row r="122" spans="9:43" ht="31.5" customHeight="1" thickBot="1" x14ac:dyDescent="0.3">
      <c r="I122" s="631">
        <v>3</v>
      </c>
      <c r="J122" s="639" t="s">
        <v>447</v>
      </c>
      <c r="K122" s="633">
        <v>30</v>
      </c>
      <c r="L122" s="634"/>
      <c r="M122" s="634"/>
      <c r="N122" s="633">
        <v>30</v>
      </c>
      <c r="O122" s="634"/>
      <c r="P122" s="634"/>
      <c r="Q122" s="634"/>
      <c r="R122" s="634"/>
      <c r="S122" s="634"/>
      <c r="T122" s="634"/>
      <c r="U122" s="634"/>
      <c r="V122" s="633">
        <v>60</v>
      </c>
      <c r="W122" s="635">
        <v>40</v>
      </c>
      <c r="X122" s="697">
        <v>4</v>
      </c>
      <c r="Y122" s="646"/>
      <c r="Z122" s="647"/>
      <c r="AA122" s="647"/>
      <c r="AB122" s="647"/>
      <c r="AC122" s="647"/>
      <c r="AD122" s="647"/>
      <c r="AE122" s="647"/>
      <c r="AF122" s="647"/>
      <c r="AG122" s="647"/>
      <c r="AH122" s="647"/>
      <c r="AI122" s="647"/>
      <c r="AJ122" s="648"/>
      <c r="AK122" s="649"/>
      <c r="AL122" s="646"/>
      <c r="AM122" s="638">
        <v>60</v>
      </c>
      <c r="AN122" s="638">
        <v>40</v>
      </c>
      <c r="AO122" s="638">
        <v>100</v>
      </c>
      <c r="AP122" s="638">
        <v>4</v>
      </c>
      <c r="AQ122" s="634" t="s">
        <v>56</v>
      </c>
    </row>
    <row r="123" spans="9:43" ht="31.5" customHeight="1" thickBot="1" x14ac:dyDescent="0.3">
      <c r="I123" s="631">
        <v>4</v>
      </c>
      <c r="J123" s="639" t="s">
        <v>453</v>
      </c>
      <c r="K123" s="634"/>
      <c r="L123" s="634"/>
      <c r="M123" s="634"/>
      <c r="N123" s="634"/>
      <c r="O123" s="634"/>
      <c r="P123" s="634"/>
      <c r="Q123" s="634"/>
      <c r="R123" s="634"/>
      <c r="S123" s="634"/>
      <c r="T123" s="634"/>
      <c r="U123" s="634"/>
      <c r="V123" s="633">
        <v>0</v>
      </c>
      <c r="W123" s="636"/>
      <c r="X123" s="696"/>
      <c r="Y123" s="650">
        <v>5</v>
      </c>
      <c r="Z123" s="647"/>
      <c r="AA123" s="651">
        <v>5</v>
      </c>
      <c r="AB123" s="647"/>
      <c r="AC123" s="647"/>
      <c r="AD123" s="647"/>
      <c r="AE123" s="647"/>
      <c r="AF123" s="647"/>
      <c r="AG123" s="651">
        <v>5</v>
      </c>
      <c r="AH123" s="647"/>
      <c r="AI123" s="647"/>
      <c r="AJ123" s="633">
        <v>15</v>
      </c>
      <c r="AK123" s="652">
        <v>10</v>
      </c>
      <c r="AL123" s="650">
        <v>1</v>
      </c>
      <c r="AM123" s="638">
        <v>15</v>
      </c>
      <c r="AN123" s="638">
        <v>10</v>
      </c>
      <c r="AO123" s="638">
        <v>25</v>
      </c>
      <c r="AP123" s="638">
        <v>1</v>
      </c>
      <c r="AQ123" s="634" t="s">
        <v>99</v>
      </c>
    </row>
    <row r="124" spans="9:43" ht="31.5" customHeight="1" thickBot="1" x14ac:dyDescent="0.3">
      <c r="I124" s="631">
        <v>5</v>
      </c>
      <c r="J124" s="639" t="s">
        <v>448</v>
      </c>
      <c r="K124" s="633">
        <v>15</v>
      </c>
      <c r="L124" s="634"/>
      <c r="M124" s="633">
        <v>30</v>
      </c>
      <c r="N124" s="634"/>
      <c r="O124" s="634"/>
      <c r="P124" s="634"/>
      <c r="Q124" s="634"/>
      <c r="R124" s="634"/>
      <c r="S124" s="634"/>
      <c r="T124" s="634"/>
      <c r="U124" s="634"/>
      <c r="V124" s="633">
        <v>45</v>
      </c>
      <c r="W124" s="635">
        <v>30</v>
      </c>
      <c r="X124" s="697">
        <v>3</v>
      </c>
      <c r="Y124" s="653"/>
      <c r="Z124" s="654"/>
      <c r="AA124" s="654"/>
      <c r="AB124" s="654"/>
      <c r="AC124" s="654"/>
      <c r="AD124" s="654"/>
      <c r="AE124" s="654"/>
      <c r="AF124" s="654"/>
      <c r="AG124" s="654"/>
      <c r="AH124" s="654"/>
      <c r="AI124" s="654"/>
      <c r="AJ124" s="648"/>
      <c r="AK124" s="655"/>
      <c r="AL124" s="653"/>
      <c r="AM124" s="638">
        <v>45</v>
      </c>
      <c r="AN124" s="638">
        <v>30</v>
      </c>
      <c r="AO124" s="638">
        <v>75</v>
      </c>
      <c r="AP124" s="638">
        <v>3</v>
      </c>
      <c r="AQ124" s="634" t="s">
        <v>99</v>
      </c>
    </row>
    <row r="125" spans="9:43" ht="31.5" customHeight="1" thickBot="1" x14ac:dyDescent="0.3">
      <c r="I125" s="631">
        <v>6</v>
      </c>
      <c r="J125" s="656" t="s">
        <v>678</v>
      </c>
      <c r="K125" s="633"/>
      <c r="L125" s="634"/>
      <c r="M125" s="633"/>
      <c r="N125" s="634"/>
      <c r="O125" s="634"/>
      <c r="P125" s="634"/>
      <c r="Q125" s="634"/>
      <c r="R125" s="634"/>
      <c r="S125" s="634"/>
      <c r="T125" s="634"/>
      <c r="U125" s="634">
        <v>160</v>
      </c>
      <c r="V125" s="633">
        <v>160</v>
      </c>
      <c r="W125" s="633"/>
      <c r="X125" s="633">
        <v>6</v>
      </c>
      <c r="Y125" s="634"/>
      <c r="Z125" s="634"/>
      <c r="AA125" s="634"/>
      <c r="AB125" s="634"/>
      <c r="AC125" s="634"/>
      <c r="AD125" s="634"/>
      <c r="AE125" s="634"/>
      <c r="AF125" s="634"/>
      <c r="AG125" s="634"/>
      <c r="AH125" s="634"/>
      <c r="AI125" s="634"/>
      <c r="AJ125" s="633"/>
      <c r="AK125" s="634"/>
      <c r="AL125" s="634"/>
      <c r="AM125" s="638">
        <v>160</v>
      </c>
      <c r="AN125" s="638">
        <v>0</v>
      </c>
      <c r="AO125" s="638">
        <v>160</v>
      </c>
      <c r="AP125" s="638">
        <v>6</v>
      </c>
      <c r="AQ125" s="634" t="s">
        <v>99</v>
      </c>
    </row>
    <row r="126" spans="9:43" ht="31.5" customHeight="1" thickBot="1" x14ac:dyDescent="0.3">
      <c r="I126" s="631">
        <v>7</v>
      </c>
      <c r="J126" s="656" t="s">
        <v>679</v>
      </c>
      <c r="K126" s="633"/>
      <c r="L126" s="634"/>
      <c r="M126" s="633"/>
      <c r="N126" s="634"/>
      <c r="O126" s="634"/>
      <c r="P126" s="634"/>
      <c r="Q126" s="634"/>
      <c r="R126" s="634"/>
      <c r="S126" s="634"/>
      <c r="T126" s="634"/>
      <c r="U126" s="634"/>
      <c r="V126" s="633"/>
      <c r="W126" s="633"/>
      <c r="X126" s="633"/>
      <c r="Y126" s="634"/>
      <c r="Z126" s="634"/>
      <c r="AA126" s="634"/>
      <c r="AB126" s="634"/>
      <c r="AC126" s="634"/>
      <c r="AD126" s="634"/>
      <c r="AE126" s="634"/>
      <c r="AF126" s="634"/>
      <c r="AG126" s="634"/>
      <c r="AH126" s="634"/>
      <c r="AI126" s="634">
        <v>160</v>
      </c>
      <c r="AJ126" s="633">
        <v>160</v>
      </c>
      <c r="AK126" s="634"/>
      <c r="AL126" s="634">
        <v>6</v>
      </c>
      <c r="AM126" s="638">
        <v>160</v>
      </c>
      <c r="AN126" s="638">
        <v>0</v>
      </c>
      <c r="AO126" s="638">
        <v>160</v>
      </c>
      <c r="AP126" s="638">
        <v>6</v>
      </c>
      <c r="AQ126" s="634" t="s">
        <v>99</v>
      </c>
    </row>
    <row r="127" spans="9:43" ht="31.5" customHeight="1" thickBot="1" x14ac:dyDescent="0.3">
      <c r="I127" s="631">
        <v>8</v>
      </c>
      <c r="J127" s="583" t="s">
        <v>652</v>
      </c>
      <c r="K127" s="633">
        <v>10</v>
      </c>
      <c r="L127" s="634"/>
      <c r="M127" s="634">
        <v>30</v>
      </c>
      <c r="N127" s="633"/>
      <c r="O127" s="634"/>
      <c r="P127" s="634"/>
      <c r="Q127" s="634"/>
      <c r="R127" s="634"/>
      <c r="S127" s="634"/>
      <c r="T127" s="634"/>
      <c r="U127" s="634"/>
      <c r="V127" s="633">
        <v>40</v>
      </c>
      <c r="W127" s="633">
        <v>10</v>
      </c>
      <c r="X127" s="633">
        <v>2</v>
      </c>
      <c r="Y127" s="633"/>
      <c r="Z127" s="634"/>
      <c r="AA127" s="634"/>
      <c r="AB127" s="633"/>
      <c r="AC127" s="634"/>
      <c r="AD127" s="634"/>
      <c r="AE127" s="634"/>
      <c r="AF127" s="634"/>
      <c r="AG127" s="634"/>
      <c r="AH127" s="634"/>
      <c r="AI127" s="634"/>
      <c r="AJ127" s="633">
        <v>0</v>
      </c>
      <c r="AK127" s="633"/>
      <c r="AL127" s="633"/>
      <c r="AM127" s="638">
        <v>40</v>
      </c>
      <c r="AN127" s="638">
        <v>10</v>
      </c>
      <c r="AO127" s="638">
        <v>50</v>
      </c>
      <c r="AP127" s="638">
        <v>2</v>
      </c>
      <c r="AQ127" s="634" t="s">
        <v>99</v>
      </c>
    </row>
    <row r="128" spans="9:43" ht="31.5" customHeight="1" thickBot="1" x14ac:dyDescent="0.3">
      <c r="I128" s="631">
        <v>9</v>
      </c>
      <c r="J128" s="583" t="s">
        <v>653</v>
      </c>
      <c r="K128" s="633"/>
      <c r="L128" s="634"/>
      <c r="M128" s="634"/>
      <c r="N128" s="633"/>
      <c r="O128" s="634"/>
      <c r="P128" s="634"/>
      <c r="Q128" s="634"/>
      <c r="R128" s="634"/>
      <c r="S128" s="634"/>
      <c r="T128" s="634"/>
      <c r="U128" s="634"/>
      <c r="V128" s="633">
        <v>0</v>
      </c>
      <c r="W128" s="635"/>
      <c r="X128" s="697"/>
      <c r="Y128" s="631">
        <v>10</v>
      </c>
      <c r="Z128" s="634"/>
      <c r="AA128" s="634">
        <v>30</v>
      </c>
      <c r="AB128" s="633"/>
      <c r="AC128" s="634"/>
      <c r="AD128" s="634"/>
      <c r="AE128" s="634"/>
      <c r="AF128" s="634"/>
      <c r="AG128" s="634"/>
      <c r="AH128" s="634"/>
      <c r="AI128" s="634"/>
      <c r="AJ128" s="633">
        <v>40</v>
      </c>
      <c r="AK128" s="635">
        <v>10</v>
      </c>
      <c r="AL128" s="631">
        <v>2</v>
      </c>
      <c r="AM128" s="638">
        <v>40</v>
      </c>
      <c r="AN128" s="638">
        <v>10</v>
      </c>
      <c r="AO128" s="638">
        <v>50</v>
      </c>
      <c r="AP128" s="638">
        <v>2</v>
      </c>
      <c r="AQ128" s="634" t="s">
        <v>99</v>
      </c>
    </row>
    <row r="129" spans="1:43" s="699" customFormat="1" ht="31.5" customHeight="1" thickBot="1" x14ac:dyDescent="0.3">
      <c r="A129" s="698"/>
      <c r="I129" s="700">
        <v>10</v>
      </c>
      <c r="J129" s="701" t="s">
        <v>700</v>
      </c>
      <c r="K129" s="700"/>
      <c r="L129" s="702"/>
      <c r="M129" s="702">
        <v>40</v>
      </c>
      <c r="N129" s="703"/>
      <c r="O129" s="702"/>
      <c r="P129" s="702"/>
      <c r="Q129" s="702"/>
      <c r="R129" s="702"/>
      <c r="S129" s="702"/>
      <c r="T129" s="702"/>
      <c r="U129" s="702"/>
      <c r="V129" s="703">
        <v>40</v>
      </c>
      <c r="W129" s="703">
        <v>10</v>
      </c>
      <c r="X129" s="703">
        <v>2</v>
      </c>
      <c r="Y129" s="703"/>
      <c r="Z129" s="702"/>
      <c r="AA129" s="702"/>
      <c r="AB129" s="703"/>
      <c r="AC129" s="702"/>
      <c r="AD129" s="702"/>
      <c r="AE129" s="702"/>
      <c r="AF129" s="702"/>
      <c r="AG129" s="702"/>
      <c r="AH129" s="702"/>
      <c r="AI129" s="702"/>
      <c r="AJ129" s="703">
        <v>0</v>
      </c>
      <c r="AK129" s="703"/>
      <c r="AL129" s="703"/>
      <c r="AM129" s="703">
        <v>40</v>
      </c>
      <c r="AN129" s="703">
        <v>10</v>
      </c>
      <c r="AO129" s="703">
        <v>50</v>
      </c>
      <c r="AP129" s="703">
        <v>2</v>
      </c>
      <c r="AQ129" s="702" t="s">
        <v>99</v>
      </c>
    </row>
    <row r="130" spans="1:43" ht="31.5" customHeight="1" thickBot="1" x14ac:dyDescent="0.3">
      <c r="I130" s="631">
        <v>11</v>
      </c>
      <c r="J130" s="632" t="s">
        <v>695</v>
      </c>
      <c r="K130" s="633">
        <v>30</v>
      </c>
      <c r="L130" s="634"/>
      <c r="M130" s="634"/>
      <c r="N130" s="633">
        <v>30</v>
      </c>
      <c r="O130" s="634"/>
      <c r="P130" s="634"/>
      <c r="Q130" s="634"/>
      <c r="R130" s="634"/>
      <c r="S130" s="634"/>
      <c r="T130" s="634"/>
      <c r="U130" s="634"/>
      <c r="V130" s="633">
        <v>60</v>
      </c>
      <c r="W130" s="635">
        <v>15</v>
      </c>
      <c r="X130" s="697">
        <v>3</v>
      </c>
      <c r="Y130" s="631">
        <v>30</v>
      </c>
      <c r="Z130" s="634"/>
      <c r="AA130" s="634"/>
      <c r="AB130" s="633">
        <v>30</v>
      </c>
      <c r="AC130" s="634"/>
      <c r="AD130" s="634"/>
      <c r="AE130" s="634"/>
      <c r="AF130" s="634"/>
      <c r="AG130" s="634"/>
      <c r="AH130" s="634"/>
      <c r="AI130" s="634"/>
      <c r="AJ130" s="633">
        <v>60</v>
      </c>
      <c r="AK130" s="635">
        <v>15</v>
      </c>
      <c r="AL130" s="631">
        <v>3</v>
      </c>
      <c r="AM130" s="638">
        <v>120</v>
      </c>
      <c r="AN130" s="638">
        <v>30</v>
      </c>
      <c r="AO130" s="638">
        <v>150</v>
      </c>
      <c r="AP130" s="638">
        <v>6</v>
      </c>
      <c r="AQ130" s="634" t="s">
        <v>56</v>
      </c>
    </row>
    <row r="131" spans="1:43" ht="31.5" customHeight="1" thickBot="1" x14ac:dyDescent="0.3">
      <c r="I131" s="631">
        <v>12</v>
      </c>
      <c r="J131" s="639" t="s">
        <v>456</v>
      </c>
      <c r="K131" s="634"/>
      <c r="L131" s="634"/>
      <c r="M131" s="634"/>
      <c r="N131" s="634"/>
      <c r="O131" s="634"/>
      <c r="P131" s="634"/>
      <c r="Q131" s="634"/>
      <c r="R131" s="634"/>
      <c r="S131" s="634"/>
      <c r="T131" s="634"/>
      <c r="U131" s="634"/>
      <c r="V131" s="633">
        <v>0</v>
      </c>
      <c r="W131" s="636"/>
      <c r="X131" s="696"/>
      <c r="Y131" s="631">
        <v>30</v>
      </c>
      <c r="Z131" s="634"/>
      <c r="AA131" s="634"/>
      <c r="AB131" s="633">
        <v>40</v>
      </c>
      <c r="AC131" s="634"/>
      <c r="AD131" s="634"/>
      <c r="AE131" s="634"/>
      <c r="AF131" s="634"/>
      <c r="AG131" s="634"/>
      <c r="AH131" s="634"/>
      <c r="AI131" s="634"/>
      <c r="AJ131" s="633">
        <v>70</v>
      </c>
      <c r="AK131" s="635">
        <v>55</v>
      </c>
      <c r="AL131" s="631">
        <v>5</v>
      </c>
      <c r="AM131" s="638">
        <v>70</v>
      </c>
      <c r="AN131" s="638">
        <v>55</v>
      </c>
      <c r="AO131" s="638">
        <v>125</v>
      </c>
      <c r="AP131" s="638">
        <v>5</v>
      </c>
      <c r="AQ131" s="634" t="s">
        <v>56</v>
      </c>
    </row>
    <row r="132" spans="1:43" ht="31.5" customHeight="1" thickBot="1" x14ac:dyDescent="0.3">
      <c r="I132" s="631">
        <v>13</v>
      </c>
      <c r="J132" s="639" t="s">
        <v>446</v>
      </c>
      <c r="K132" s="633">
        <v>30</v>
      </c>
      <c r="L132" s="634"/>
      <c r="M132" s="634"/>
      <c r="N132" s="633">
        <v>30</v>
      </c>
      <c r="O132" s="634"/>
      <c r="P132" s="634"/>
      <c r="Q132" s="634"/>
      <c r="R132" s="634"/>
      <c r="S132" s="634"/>
      <c r="T132" s="634"/>
      <c r="U132" s="634"/>
      <c r="V132" s="633">
        <v>60</v>
      </c>
      <c r="W132" s="635">
        <v>40</v>
      </c>
      <c r="X132" s="697">
        <v>4</v>
      </c>
      <c r="Y132" s="637"/>
      <c r="Z132" s="634"/>
      <c r="AA132" s="634"/>
      <c r="AB132" s="634"/>
      <c r="AC132" s="634"/>
      <c r="AD132" s="634"/>
      <c r="AE132" s="634"/>
      <c r="AF132" s="634"/>
      <c r="AG132" s="634"/>
      <c r="AH132" s="634"/>
      <c r="AI132" s="634"/>
      <c r="AJ132" s="633">
        <v>0</v>
      </c>
      <c r="AK132" s="636"/>
      <c r="AL132" s="637"/>
      <c r="AM132" s="638">
        <v>60</v>
      </c>
      <c r="AN132" s="638">
        <v>40</v>
      </c>
      <c r="AO132" s="638">
        <v>100</v>
      </c>
      <c r="AP132" s="638">
        <v>4</v>
      </c>
      <c r="AQ132" s="634" t="s">
        <v>56</v>
      </c>
    </row>
    <row r="133" spans="1:43" ht="31.5" customHeight="1" thickBot="1" x14ac:dyDescent="0.3">
      <c r="I133" s="631">
        <v>14</v>
      </c>
      <c r="J133" s="632" t="s">
        <v>461</v>
      </c>
      <c r="K133" s="633"/>
      <c r="L133" s="634"/>
      <c r="M133" s="634"/>
      <c r="N133" s="633"/>
      <c r="O133" s="634"/>
      <c r="P133" s="634"/>
      <c r="Q133" s="634"/>
      <c r="R133" s="634"/>
      <c r="S133" s="634"/>
      <c r="T133" s="634"/>
      <c r="U133" s="634"/>
      <c r="V133" s="633"/>
      <c r="W133" s="633"/>
      <c r="X133" s="633"/>
      <c r="Y133" s="634">
        <v>30</v>
      </c>
      <c r="Z133" s="634"/>
      <c r="AA133" s="634"/>
      <c r="AB133" s="634">
        <v>40</v>
      </c>
      <c r="AC133" s="634"/>
      <c r="AD133" s="634"/>
      <c r="AE133" s="634"/>
      <c r="AF133" s="634"/>
      <c r="AG133" s="634"/>
      <c r="AH133" s="634"/>
      <c r="AI133" s="634"/>
      <c r="AJ133" s="633">
        <v>70</v>
      </c>
      <c r="AK133" s="634">
        <v>55</v>
      </c>
      <c r="AL133" s="634">
        <v>5</v>
      </c>
      <c r="AM133" s="638">
        <v>70</v>
      </c>
      <c r="AN133" s="638">
        <v>55</v>
      </c>
      <c r="AO133" s="638">
        <v>125</v>
      </c>
      <c r="AP133" s="638">
        <v>5</v>
      </c>
      <c r="AQ133" s="634" t="s">
        <v>56</v>
      </c>
    </row>
    <row r="134" spans="1:43" ht="31.5" customHeight="1" thickBot="1" x14ac:dyDescent="0.3">
      <c r="I134" s="631">
        <v>15</v>
      </c>
      <c r="J134" s="639" t="s">
        <v>696</v>
      </c>
      <c r="K134" s="633">
        <v>25</v>
      </c>
      <c r="L134" s="634"/>
      <c r="M134" s="634"/>
      <c r="N134" s="633">
        <v>25</v>
      </c>
      <c r="O134" s="634"/>
      <c r="P134" s="634"/>
      <c r="Q134" s="634"/>
      <c r="R134" s="634"/>
      <c r="S134" s="634"/>
      <c r="T134" s="634"/>
      <c r="U134" s="634"/>
      <c r="V134" s="633">
        <v>50</v>
      </c>
      <c r="W134" s="636"/>
      <c r="X134" s="697">
        <v>2</v>
      </c>
      <c r="Y134" s="631">
        <v>25</v>
      </c>
      <c r="Z134" s="634"/>
      <c r="AA134" s="634"/>
      <c r="AB134" s="633">
        <v>25</v>
      </c>
      <c r="AC134" s="634"/>
      <c r="AD134" s="634"/>
      <c r="AE134" s="634"/>
      <c r="AF134" s="634"/>
      <c r="AG134" s="634"/>
      <c r="AH134" s="634"/>
      <c r="AI134" s="634"/>
      <c r="AJ134" s="633">
        <v>50</v>
      </c>
      <c r="AK134" s="635">
        <v>25</v>
      </c>
      <c r="AL134" s="631">
        <v>3</v>
      </c>
      <c r="AM134" s="638">
        <v>100</v>
      </c>
      <c r="AN134" s="638">
        <v>25</v>
      </c>
      <c r="AO134" s="638">
        <v>125</v>
      </c>
      <c r="AP134" s="638">
        <v>5</v>
      </c>
      <c r="AQ134" s="634" t="s">
        <v>56</v>
      </c>
    </row>
    <row r="135" spans="1:43" ht="15.75" thickBot="1" x14ac:dyDescent="0.3">
      <c r="I135" s="631">
        <v>16</v>
      </c>
      <c r="J135" s="632" t="s">
        <v>449</v>
      </c>
      <c r="K135" s="633">
        <v>30</v>
      </c>
      <c r="L135" s="633">
        <v>20</v>
      </c>
      <c r="M135" s="634"/>
      <c r="N135" s="634"/>
      <c r="O135" s="634"/>
      <c r="P135" s="634"/>
      <c r="Q135" s="634"/>
      <c r="R135" s="634"/>
      <c r="S135" s="634"/>
      <c r="T135" s="634"/>
      <c r="U135" s="634"/>
      <c r="V135" s="633">
        <v>50</v>
      </c>
      <c r="W135" s="635">
        <v>25</v>
      </c>
      <c r="X135" s="697">
        <v>3</v>
      </c>
      <c r="Y135" s="637"/>
      <c r="Z135" s="634"/>
      <c r="AA135" s="634"/>
      <c r="AB135" s="634"/>
      <c r="AC135" s="634"/>
      <c r="AD135" s="634"/>
      <c r="AE135" s="634"/>
      <c r="AF135" s="634"/>
      <c r="AG135" s="634"/>
      <c r="AH135" s="634"/>
      <c r="AI135" s="634"/>
      <c r="AJ135" s="633">
        <v>0</v>
      </c>
      <c r="AK135" s="636"/>
      <c r="AL135" s="637"/>
      <c r="AM135" s="638">
        <v>50</v>
      </c>
      <c r="AN135" s="638">
        <v>25</v>
      </c>
      <c r="AO135" s="638">
        <v>75</v>
      </c>
      <c r="AP135" s="638">
        <v>3</v>
      </c>
      <c r="AQ135" s="634" t="s">
        <v>56</v>
      </c>
    </row>
    <row r="136" spans="1:43" ht="15.75" thickBot="1" x14ac:dyDescent="0.3">
      <c r="I136" s="1376" t="s">
        <v>21</v>
      </c>
      <c r="J136" s="1377"/>
      <c r="K136" s="633">
        <v>170</v>
      </c>
      <c r="L136" s="633">
        <v>20</v>
      </c>
      <c r="M136" s="633">
        <v>100</v>
      </c>
      <c r="N136" s="633">
        <v>115</v>
      </c>
      <c r="O136" s="633">
        <v>0</v>
      </c>
      <c r="P136" s="633">
        <v>0</v>
      </c>
      <c r="Q136" s="633">
        <v>0</v>
      </c>
      <c r="R136" s="633">
        <v>30</v>
      </c>
      <c r="S136" s="633">
        <v>0</v>
      </c>
      <c r="T136" s="633">
        <v>0</v>
      </c>
      <c r="U136" s="633">
        <v>160</v>
      </c>
      <c r="V136" s="633">
        <v>595</v>
      </c>
      <c r="W136" s="635">
        <v>170</v>
      </c>
      <c r="X136" s="697">
        <v>32</v>
      </c>
      <c r="Y136" s="631">
        <v>150</v>
      </c>
      <c r="Z136" s="633">
        <v>0</v>
      </c>
      <c r="AA136" s="633">
        <v>65</v>
      </c>
      <c r="AB136" s="633">
        <v>135</v>
      </c>
      <c r="AC136" s="633">
        <v>0</v>
      </c>
      <c r="AD136" s="633">
        <v>0</v>
      </c>
      <c r="AE136" s="633">
        <v>0</v>
      </c>
      <c r="AF136" s="633">
        <v>30</v>
      </c>
      <c r="AG136" s="633">
        <v>5</v>
      </c>
      <c r="AH136" s="633">
        <v>0</v>
      </c>
      <c r="AI136" s="633">
        <v>160</v>
      </c>
      <c r="AJ136" s="633">
        <v>555</v>
      </c>
      <c r="AK136" s="633">
        <v>250</v>
      </c>
      <c r="AL136" s="633">
        <v>30</v>
      </c>
      <c r="AM136" s="638">
        <v>1110</v>
      </c>
      <c r="AN136" s="638">
        <v>410</v>
      </c>
      <c r="AO136" s="638">
        <v>1520</v>
      </c>
      <c r="AP136" s="638">
        <v>60</v>
      </c>
      <c r="AQ136" s="634"/>
    </row>
    <row r="137" spans="1:43" x14ac:dyDescent="0.25">
      <c r="K137" s="432">
        <f>SUM(K120:K135)</f>
        <v>170</v>
      </c>
      <c r="L137" s="432">
        <f t="shared" ref="L137:AQ137" si="6">SUM(L120:L135)</f>
        <v>20</v>
      </c>
      <c r="M137" s="432">
        <f t="shared" si="6"/>
        <v>100</v>
      </c>
      <c r="N137" s="432">
        <f t="shared" si="6"/>
        <v>115</v>
      </c>
      <c r="O137" s="432">
        <f t="shared" si="6"/>
        <v>0</v>
      </c>
      <c r="P137" s="432">
        <f t="shared" si="6"/>
        <v>0</v>
      </c>
      <c r="Q137" s="432">
        <f t="shared" si="6"/>
        <v>0</v>
      </c>
      <c r="R137" s="432">
        <f t="shared" si="6"/>
        <v>30</v>
      </c>
      <c r="S137" s="432">
        <f t="shared" si="6"/>
        <v>0</v>
      </c>
      <c r="T137" s="432">
        <f t="shared" si="6"/>
        <v>0</v>
      </c>
      <c r="U137" s="432">
        <f t="shared" si="6"/>
        <v>160</v>
      </c>
      <c r="V137" s="432">
        <f t="shared" si="6"/>
        <v>595</v>
      </c>
      <c r="W137" s="432">
        <f t="shared" si="6"/>
        <v>170</v>
      </c>
      <c r="X137" s="432">
        <f t="shared" si="6"/>
        <v>32</v>
      </c>
      <c r="Y137" s="432">
        <f t="shared" si="6"/>
        <v>150</v>
      </c>
      <c r="Z137" s="432">
        <f t="shared" si="6"/>
        <v>0</v>
      </c>
      <c r="AA137" s="432">
        <f t="shared" si="6"/>
        <v>35</v>
      </c>
      <c r="AB137" s="432">
        <f t="shared" si="6"/>
        <v>135</v>
      </c>
      <c r="AC137" s="432">
        <f t="shared" si="6"/>
        <v>0</v>
      </c>
      <c r="AD137" s="432">
        <f t="shared" si="6"/>
        <v>0</v>
      </c>
      <c r="AE137" s="432">
        <f t="shared" si="6"/>
        <v>0</v>
      </c>
      <c r="AF137" s="432">
        <f t="shared" si="6"/>
        <v>30</v>
      </c>
      <c r="AG137" s="432">
        <f t="shared" si="6"/>
        <v>5</v>
      </c>
      <c r="AH137" s="432">
        <f t="shared" si="6"/>
        <v>0</v>
      </c>
      <c r="AI137" s="432">
        <f t="shared" si="6"/>
        <v>160</v>
      </c>
      <c r="AJ137" s="432">
        <f t="shared" si="6"/>
        <v>515</v>
      </c>
      <c r="AK137" s="432">
        <f t="shared" si="6"/>
        <v>240</v>
      </c>
      <c r="AL137" s="432">
        <f t="shared" si="6"/>
        <v>28</v>
      </c>
      <c r="AM137" s="432">
        <f t="shared" si="6"/>
        <v>1110</v>
      </c>
      <c r="AN137" s="432">
        <f t="shared" si="6"/>
        <v>410</v>
      </c>
      <c r="AO137" s="432">
        <f t="shared" si="6"/>
        <v>1520</v>
      </c>
      <c r="AP137" s="432">
        <f t="shared" si="6"/>
        <v>60</v>
      </c>
      <c r="AQ137" s="432">
        <f t="shared" si="6"/>
        <v>0</v>
      </c>
    </row>
    <row r="139" spans="1:43" ht="26.25" x14ac:dyDescent="0.25">
      <c r="A139" s="575" t="s">
        <v>638</v>
      </c>
      <c r="B139" t="s">
        <v>2</v>
      </c>
      <c r="C139" t="s">
        <v>688</v>
      </c>
      <c r="Q139" t="s">
        <v>689</v>
      </c>
      <c r="AE139" t="s">
        <v>28</v>
      </c>
      <c r="AI139" t="s">
        <v>690</v>
      </c>
    </row>
    <row r="140" spans="1:43" x14ac:dyDescent="0.25">
      <c r="C140" t="s">
        <v>6</v>
      </c>
      <c r="D140" t="s">
        <v>7</v>
      </c>
      <c r="E140" t="s">
        <v>8</v>
      </c>
      <c r="F140" t="s">
        <v>9</v>
      </c>
      <c r="G140" t="s">
        <v>691</v>
      </c>
      <c r="H140" t="s">
        <v>10</v>
      </c>
      <c r="I140" t="s">
        <v>11</v>
      </c>
      <c r="J140" t="s">
        <v>14</v>
      </c>
      <c r="K140" t="s">
        <v>15</v>
      </c>
      <c r="L140" t="s">
        <v>54</v>
      </c>
      <c r="M140" t="s">
        <v>16</v>
      </c>
      <c r="N140" t="s">
        <v>692</v>
      </c>
      <c r="O140" t="s">
        <v>67</v>
      </c>
      <c r="P140" t="s">
        <v>19</v>
      </c>
      <c r="Q140" t="s">
        <v>6</v>
      </c>
      <c r="R140" t="s">
        <v>7</v>
      </c>
      <c r="S140" t="s">
        <v>20</v>
      </c>
      <c r="T140" t="s">
        <v>9</v>
      </c>
      <c r="U140" t="s">
        <v>691</v>
      </c>
      <c r="V140" t="s">
        <v>10</v>
      </c>
      <c r="W140" t="s">
        <v>11</v>
      </c>
      <c r="X140" t="s">
        <v>14</v>
      </c>
      <c r="Y140" t="s">
        <v>15</v>
      </c>
      <c r="Z140" t="s">
        <v>54</v>
      </c>
      <c r="AA140" t="s">
        <v>16</v>
      </c>
      <c r="AB140" t="s">
        <v>692</v>
      </c>
      <c r="AC140" t="s">
        <v>67</v>
      </c>
      <c r="AD140" t="s">
        <v>19</v>
      </c>
      <c r="AE140" t="s">
        <v>69</v>
      </c>
      <c r="AH140" t="s">
        <v>693</v>
      </c>
    </row>
    <row r="141" spans="1:43" x14ac:dyDescent="0.25">
      <c r="AE141" t="s">
        <v>72</v>
      </c>
      <c r="AF141" t="s">
        <v>68</v>
      </c>
      <c r="AG141" t="s">
        <v>71</v>
      </c>
    </row>
    <row r="142" spans="1:43" x14ac:dyDescent="0.25">
      <c r="A142" s="575">
        <v>1</v>
      </c>
      <c r="B142" t="s">
        <v>460</v>
      </c>
      <c r="C142">
        <v>20</v>
      </c>
      <c r="F142">
        <v>20</v>
      </c>
      <c r="N142">
        <v>40</v>
      </c>
      <c r="O142">
        <v>60</v>
      </c>
      <c r="P142">
        <v>4</v>
      </c>
      <c r="AB142">
        <v>0</v>
      </c>
      <c r="AE142">
        <v>40</v>
      </c>
      <c r="AF142">
        <v>60</v>
      </c>
      <c r="AG142">
        <v>100</v>
      </c>
      <c r="AH142">
        <v>4</v>
      </c>
      <c r="AI142" t="s">
        <v>56</v>
      </c>
    </row>
    <row r="143" spans="1:43" x14ac:dyDescent="0.25">
      <c r="A143" s="575">
        <v>2</v>
      </c>
      <c r="B143" t="s">
        <v>462</v>
      </c>
      <c r="N143">
        <v>0</v>
      </c>
      <c r="Q143">
        <v>30</v>
      </c>
      <c r="T143">
        <v>30</v>
      </c>
      <c r="AB143">
        <v>60</v>
      </c>
      <c r="AC143">
        <v>15</v>
      </c>
      <c r="AD143">
        <v>3</v>
      </c>
      <c r="AE143">
        <v>60</v>
      </c>
      <c r="AF143">
        <v>15</v>
      </c>
      <c r="AG143">
        <v>75</v>
      </c>
      <c r="AH143">
        <v>3</v>
      </c>
      <c r="AI143" t="s">
        <v>56</v>
      </c>
    </row>
    <row r="144" spans="1:43" x14ac:dyDescent="0.25">
      <c r="A144" s="575">
        <v>3</v>
      </c>
      <c r="B144" t="s">
        <v>454</v>
      </c>
      <c r="N144">
        <v>0</v>
      </c>
      <c r="Q144">
        <v>15</v>
      </c>
      <c r="T144">
        <v>15</v>
      </c>
      <c r="AB144">
        <v>30</v>
      </c>
      <c r="AC144">
        <v>45</v>
      </c>
      <c r="AD144">
        <v>3</v>
      </c>
      <c r="AE144">
        <v>30</v>
      </c>
      <c r="AF144">
        <v>45</v>
      </c>
      <c r="AG144">
        <v>75</v>
      </c>
      <c r="AH144">
        <v>3</v>
      </c>
      <c r="AI144" t="s">
        <v>99</v>
      </c>
    </row>
    <row r="145" spans="1:35" x14ac:dyDescent="0.25">
      <c r="A145" s="575">
        <v>4</v>
      </c>
      <c r="B145" t="s">
        <v>680</v>
      </c>
      <c r="M145">
        <v>160</v>
      </c>
      <c r="N145">
        <v>160</v>
      </c>
      <c r="P145">
        <v>6</v>
      </c>
      <c r="AE145">
        <v>160</v>
      </c>
      <c r="AF145">
        <v>0</v>
      </c>
      <c r="AG145">
        <v>160</v>
      </c>
      <c r="AH145">
        <v>6</v>
      </c>
      <c r="AI145" t="s">
        <v>99</v>
      </c>
    </row>
    <row r="146" spans="1:35" x14ac:dyDescent="0.25">
      <c r="A146" s="575">
        <v>5</v>
      </c>
      <c r="B146" t="s">
        <v>681</v>
      </c>
      <c r="AA146">
        <v>160</v>
      </c>
      <c r="AB146">
        <v>160</v>
      </c>
      <c r="AD146">
        <v>6</v>
      </c>
      <c r="AE146">
        <v>160</v>
      </c>
      <c r="AF146">
        <v>0</v>
      </c>
      <c r="AG146">
        <v>160</v>
      </c>
      <c r="AH146">
        <v>6</v>
      </c>
      <c r="AI146" t="s">
        <v>99</v>
      </c>
    </row>
    <row r="147" spans="1:35" x14ac:dyDescent="0.25">
      <c r="A147" s="575">
        <v>6</v>
      </c>
      <c r="B147" t="s">
        <v>524</v>
      </c>
      <c r="N147">
        <v>0</v>
      </c>
      <c r="T147">
        <v>10</v>
      </c>
      <c r="AB147">
        <v>10</v>
      </c>
      <c r="AC147">
        <v>40</v>
      </c>
      <c r="AD147">
        <v>2</v>
      </c>
      <c r="AE147">
        <v>10</v>
      </c>
      <c r="AF147">
        <v>40</v>
      </c>
      <c r="AG147">
        <v>50</v>
      </c>
      <c r="AH147">
        <v>2</v>
      </c>
      <c r="AI147" t="s">
        <v>99</v>
      </c>
    </row>
    <row r="148" spans="1:35" x14ac:dyDescent="0.25">
      <c r="A148" s="575">
        <v>7</v>
      </c>
      <c r="B148" t="s">
        <v>694</v>
      </c>
      <c r="E148">
        <v>40</v>
      </c>
      <c r="N148">
        <v>40</v>
      </c>
      <c r="O148">
        <v>10</v>
      </c>
      <c r="P148">
        <v>2</v>
      </c>
      <c r="AB148">
        <v>0</v>
      </c>
      <c r="AE148">
        <v>40</v>
      </c>
      <c r="AF148">
        <v>10</v>
      </c>
      <c r="AG148">
        <v>50</v>
      </c>
      <c r="AH148">
        <v>2</v>
      </c>
      <c r="AI148" t="s">
        <v>99</v>
      </c>
    </row>
    <row r="149" spans="1:35" x14ac:dyDescent="0.25">
      <c r="A149" s="575">
        <v>8</v>
      </c>
      <c r="B149" t="s">
        <v>699</v>
      </c>
      <c r="N149">
        <v>0</v>
      </c>
      <c r="Q149">
        <v>10</v>
      </c>
      <c r="S149">
        <v>30</v>
      </c>
      <c r="AB149">
        <v>40</v>
      </c>
      <c r="AC149">
        <v>10</v>
      </c>
      <c r="AD149">
        <v>2</v>
      </c>
      <c r="AE149">
        <v>40</v>
      </c>
      <c r="AF149">
        <v>10</v>
      </c>
      <c r="AG149">
        <v>50</v>
      </c>
      <c r="AH149">
        <v>2</v>
      </c>
      <c r="AI149" t="s">
        <v>99</v>
      </c>
    </row>
    <row r="150" spans="1:35" x14ac:dyDescent="0.25">
      <c r="A150" s="575">
        <v>9</v>
      </c>
      <c r="B150" t="s">
        <v>465</v>
      </c>
      <c r="N150">
        <v>0</v>
      </c>
      <c r="Q150">
        <v>20</v>
      </c>
      <c r="T150">
        <v>30</v>
      </c>
      <c r="AB150">
        <v>50</v>
      </c>
      <c r="AC150">
        <v>50</v>
      </c>
      <c r="AD150">
        <v>4</v>
      </c>
      <c r="AE150">
        <v>50</v>
      </c>
      <c r="AF150">
        <v>50</v>
      </c>
      <c r="AG150">
        <v>100</v>
      </c>
      <c r="AH150">
        <v>4</v>
      </c>
      <c r="AI150" t="s">
        <v>56</v>
      </c>
    </row>
    <row r="151" spans="1:35" x14ac:dyDescent="0.25">
      <c r="A151" s="575">
        <v>10</v>
      </c>
      <c r="B151" t="s">
        <v>523</v>
      </c>
      <c r="N151">
        <v>0</v>
      </c>
      <c r="Q151">
        <v>20</v>
      </c>
      <c r="T151">
        <v>30</v>
      </c>
      <c r="AB151">
        <v>50</v>
      </c>
      <c r="AC151">
        <v>75</v>
      </c>
      <c r="AD151">
        <v>5</v>
      </c>
      <c r="AE151">
        <v>50</v>
      </c>
      <c r="AF151">
        <v>75</v>
      </c>
      <c r="AG151">
        <v>125</v>
      </c>
      <c r="AH151">
        <v>5</v>
      </c>
      <c r="AI151" t="s">
        <v>56</v>
      </c>
    </row>
    <row r="152" spans="1:35" x14ac:dyDescent="0.25">
      <c r="A152" s="575">
        <v>11</v>
      </c>
      <c r="B152" t="s">
        <v>580</v>
      </c>
      <c r="C152">
        <v>15</v>
      </c>
      <c r="E152">
        <v>30</v>
      </c>
      <c r="N152">
        <v>45</v>
      </c>
      <c r="O152">
        <v>5</v>
      </c>
      <c r="P152">
        <v>2</v>
      </c>
      <c r="AB152">
        <v>0</v>
      </c>
      <c r="AE152">
        <v>45</v>
      </c>
      <c r="AF152">
        <v>5</v>
      </c>
      <c r="AG152">
        <v>50</v>
      </c>
      <c r="AH152">
        <v>2</v>
      </c>
      <c r="AI152" t="s">
        <v>99</v>
      </c>
    </row>
    <row r="153" spans="1:35" x14ac:dyDescent="0.25">
      <c r="A153" s="575">
        <v>12</v>
      </c>
      <c r="B153" t="s">
        <v>586</v>
      </c>
      <c r="N153">
        <v>0</v>
      </c>
      <c r="Q153">
        <v>30</v>
      </c>
      <c r="S153">
        <v>30</v>
      </c>
      <c r="AB153">
        <v>60</v>
      </c>
      <c r="AC153">
        <v>15</v>
      </c>
      <c r="AD153">
        <v>3</v>
      </c>
      <c r="AE153">
        <v>60</v>
      </c>
      <c r="AF153">
        <v>15</v>
      </c>
      <c r="AG153">
        <v>75</v>
      </c>
      <c r="AH153">
        <v>3</v>
      </c>
      <c r="AI153" t="s">
        <v>99</v>
      </c>
    </row>
    <row r="154" spans="1:35" x14ac:dyDescent="0.25">
      <c r="A154" s="575">
        <v>13</v>
      </c>
      <c r="B154" t="s">
        <v>623</v>
      </c>
      <c r="C154">
        <v>30</v>
      </c>
      <c r="F154">
        <v>15</v>
      </c>
      <c r="N154">
        <v>45</v>
      </c>
      <c r="O154">
        <v>30</v>
      </c>
      <c r="P154">
        <v>3</v>
      </c>
      <c r="AB154">
        <v>0</v>
      </c>
      <c r="AE154">
        <v>45</v>
      </c>
      <c r="AF154">
        <v>30</v>
      </c>
      <c r="AG154">
        <v>75</v>
      </c>
      <c r="AH154">
        <v>3</v>
      </c>
      <c r="AI154" t="s">
        <v>56</v>
      </c>
    </row>
    <row r="155" spans="1:35" x14ac:dyDescent="0.25">
      <c r="A155" s="575">
        <v>14</v>
      </c>
      <c r="B155" t="s">
        <v>464</v>
      </c>
      <c r="N155">
        <v>0</v>
      </c>
      <c r="Q155">
        <v>30</v>
      </c>
      <c r="S155">
        <v>30</v>
      </c>
      <c r="AB155">
        <v>60</v>
      </c>
      <c r="AC155">
        <v>15</v>
      </c>
      <c r="AD155">
        <v>3</v>
      </c>
      <c r="AE155">
        <v>60</v>
      </c>
      <c r="AF155">
        <v>15</v>
      </c>
      <c r="AG155">
        <v>75</v>
      </c>
      <c r="AH155">
        <v>3</v>
      </c>
      <c r="AI155" t="s">
        <v>56</v>
      </c>
    </row>
    <row r="156" spans="1:35" x14ac:dyDescent="0.25">
      <c r="A156" s="575">
        <v>15</v>
      </c>
      <c r="B156" t="s">
        <v>463</v>
      </c>
      <c r="C156">
        <v>30</v>
      </c>
      <c r="I156">
        <v>45</v>
      </c>
      <c r="N156">
        <v>75</v>
      </c>
      <c r="O156">
        <v>25</v>
      </c>
      <c r="P156">
        <v>4</v>
      </c>
      <c r="AB156">
        <v>0</v>
      </c>
      <c r="AE156">
        <v>75</v>
      </c>
      <c r="AF156">
        <v>25</v>
      </c>
      <c r="AG156">
        <v>100</v>
      </c>
      <c r="AH156">
        <v>4</v>
      </c>
      <c r="AI156" t="s">
        <v>56</v>
      </c>
    </row>
    <row r="157" spans="1:35" x14ac:dyDescent="0.25">
      <c r="A157" s="575">
        <v>16</v>
      </c>
      <c r="B157" t="s">
        <v>496</v>
      </c>
      <c r="D157">
        <v>5</v>
      </c>
      <c r="F157">
        <v>30</v>
      </c>
      <c r="N157">
        <v>35</v>
      </c>
      <c r="O157">
        <v>3</v>
      </c>
      <c r="P157">
        <v>1.5</v>
      </c>
      <c r="T157">
        <v>30</v>
      </c>
      <c r="AB157">
        <v>30</v>
      </c>
      <c r="AC157">
        <v>7</v>
      </c>
      <c r="AD157" t="s">
        <v>703</v>
      </c>
      <c r="AE157">
        <v>65</v>
      </c>
      <c r="AF157">
        <v>10</v>
      </c>
      <c r="AG157">
        <v>75</v>
      </c>
      <c r="AH157">
        <v>3</v>
      </c>
      <c r="AI157" t="s">
        <v>99</v>
      </c>
    </row>
    <row r="158" spans="1:35" x14ac:dyDescent="0.25">
      <c r="A158" s="575">
        <v>17</v>
      </c>
      <c r="B158" t="s">
        <v>455</v>
      </c>
      <c r="C158">
        <v>30</v>
      </c>
      <c r="E158">
        <v>30</v>
      </c>
      <c r="N158">
        <v>60</v>
      </c>
      <c r="O158">
        <v>65</v>
      </c>
      <c r="P158">
        <v>5</v>
      </c>
      <c r="AE158">
        <v>60</v>
      </c>
      <c r="AF158">
        <v>65</v>
      </c>
      <c r="AG158">
        <v>125</v>
      </c>
      <c r="AH158">
        <v>5</v>
      </c>
      <c r="AI158" t="s">
        <v>56</v>
      </c>
    </row>
    <row r="159" spans="1:35" x14ac:dyDescent="0.25">
      <c r="A159" s="575" t="s">
        <v>21</v>
      </c>
      <c r="C159">
        <v>125</v>
      </c>
      <c r="D159">
        <v>5</v>
      </c>
      <c r="E159">
        <v>140</v>
      </c>
      <c r="F159">
        <v>65</v>
      </c>
      <c r="G159">
        <v>0</v>
      </c>
      <c r="H159">
        <v>0</v>
      </c>
      <c r="I159">
        <v>45</v>
      </c>
      <c r="J159">
        <v>0</v>
      </c>
      <c r="K159">
        <v>0</v>
      </c>
      <c r="L159">
        <v>0</v>
      </c>
      <c r="M159">
        <v>160</v>
      </c>
      <c r="N159">
        <v>540</v>
      </c>
      <c r="O159">
        <v>210</v>
      </c>
      <c r="P159">
        <v>29.5</v>
      </c>
      <c r="Q159">
        <v>145</v>
      </c>
      <c r="R159">
        <v>0</v>
      </c>
      <c r="S159">
        <v>60</v>
      </c>
      <c r="T159">
        <v>145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160</v>
      </c>
      <c r="AB159">
        <v>510</v>
      </c>
      <c r="AC159">
        <v>255</v>
      </c>
      <c r="AD159">
        <v>30.5</v>
      </c>
      <c r="AE159">
        <v>1050</v>
      </c>
      <c r="AF159">
        <v>470</v>
      </c>
      <c r="AG159">
        <v>1520</v>
      </c>
      <c r="AH159">
        <v>60</v>
      </c>
    </row>
    <row r="160" spans="1:35" x14ac:dyDescent="0.25">
      <c r="C160" s="432">
        <f>SUM(C142:C158)</f>
        <v>125</v>
      </c>
      <c r="D160" s="432">
        <f t="shared" ref="D160:AI160" si="7">SUM(D142:D158)</f>
        <v>5</v>
      </c>
      <c r="E160" s="432">
        <f t="shared" si="7"/>
        <v>100</v>
      </c>
      <c r="F160" s="432">
        <f t="shared" si="7"/>
        <v>65</v>
      </c>
      <c r="G160" s="432">
        <f t="shared" si="7"/>
        <v>0</v>
      </c>
      <c r="H160" s="432">
        <f t="shared" si="7"/>
        <v>0</v>
      </c>
      <c r="I160" s="432">
        <f t="shared" si="7"/>
        <v>45</v>
      </c>
      <c r="J160" s="432">
        <f t="shared" si="7"/>
        <v>0</v>
      </c>
      <c r="K160" s="432">
        <f t="shared" si="7"/>
        <v>0</v>
      </c>
      <c r="L160" s="432">
        <f t="shared" si="7"/>
        <v>0</v>
      </c>
      <c r="M160" s="432">
        <f t="shared" si="7"/>
        <v>160</v>
      </c>
      <c r="N160" s="432">
        <v>540</v>
      </c>
      <c r="O160" s="432">
        <v>210</v>
      </c>
      <c r="P160" s="432">
        <v>29.5</v>
      </c>
      <c r="Q160" s="432">
        <v>145</v>
      </c>
      <c r="R160" s="432">
        <f t="shared" si="7"/>
        <v>0</v>
      </c>
      <c r="S160" s="432">
        <v>60</v>
      </c>
      <c r="T160" s="432">
        <f t="shared" si="7"/>
        <v>145</v>
      </c>
      <c r="U160" s="432">
        <f t="shared" si="7"/>
        <v>0</v>
      </c>
      <c r="V160" s="432">
        <f t="shared" si="7"/>
        <v>0</v>
      </c>
      <c r="W160" s="432">
        <f t="shared" si="7"/>
        <v>0</v>
      </c>
      <c r="X160" s="432">
        <f t="shared" si="7"/>
        <v>0</v>
      </c>
      <c r="Y160" s="432">
        <f t="shared" si="7"/>
        <v>0</v>
      </c>
      <c r="Z160" s="432">
        <f t="shared" si="7"/>
        <v>0</v>
      </c>
      <c r="AA160" s="432">
        <f t="shared" si="7"/>
        <v>160</v>
      </c>
      <c r="AB160" s="432">
        <v>510</v>
      </c>
      <c r="AC160" s="432">
        <v>255</v>
      </c>
      <c r="AD160" s="432">
        <v>30.5</v>
      </c>
      <c r="AE160" s="432">
        <f t="shared" si="7"/>
        <v>1050</v>
      </c>
      <c r="AF160" s="432">
        <f t="shared" si="7"/>
        <v>470</v>
      </c>
      <c r="AG160" s="432">
        <f t="shared" si="7"/>
        <v>1520</v>
      </c>
      <c r="AH160" s="432">
        <f t="shared" si="7"/>
        <v>60</v>
      </c>
      <c r="AI160" s="432">
        <f t="shared" si="7"/>
        <v>0</v>
      </c>
    </row>
    <row r="170" spans="11:19" x14ac:dyDescent="0.25">
      <c r="K170" t="s">
        <v>638</v>
      </c>
      <c r="M170" t="s">
        <v>631</v>
      </c>
      <c r="N170" t="s">
        <v>632</v>
      </c>
      <c r="O170" t="s">
        <v>633</v>
      </c>
      <c r="P170" t="s">
        <v>634</v>
      </c>
      <c r="Q170" t="s">
        <v>635</v>
      </c>
      <c r="R170" t="s">
        <v>637</v>
      </c>
      <c r="S170" t="s">
        <v>640</v>
      </c>
    </row>
    <row r="171" spans="11:19" x14ac:dyDescent="0.25">
      <c r="L171" t="s">
        <v>630</v>
      </c>
      <c r="Q171" t="s">
        <v>636</v>
      </c>
      <c r="R171" t="s">
        <v>129</v>
      </c>
      <c r="S171" t="s">
        <v>641</v>
      </c>
    </row>
    <row r="172" spans="11:19" x14ac:dyDescent="0.25">
      <c r="S172" t="s">
        <v>642</v>
      </c>
    </row>
    <row r="173" spans="11:19" x14ac:dyDescent="0.25">
      <c r="K173">
        <v>1</v>
      </c>
      <c r="L173" t="s">
        <v>457</v>
      </c>
      <c r="M173">
        <v>20</v>
      </c>
      <c r="Q173">
        <v>20</v>
      </c>
      <c r="R173">
        <v>3</v>
      </c>
      <c r="S173" t="s">
        <v>56</v>
      </c>
    </row>
    <row r="174" spans="11:19" x14ac:dyDescent="0.25">
      <c r="K174">
        <v>2</v>
      </c>
      <c r="L174" t="s">
        <v>668</v>
      </c>
      <c r="O174">
        <v>60</v>
      </c>
      <c r="Q174">
        <v>60</v>
      </c>
      <c r="R174">
        <v>5</v>
      </c>
      <c r="S174" t="s">
        <v>56</v>
      </c>
    </row>
    <row r="175" spans="11:19" x14ac:dyDescent="0.25">
      <c r="K175">
        <v>3</v>
      </c>
      <c r="L175" t="s">
        <v>447</v>
      </c>
      <c r="M175">
        <v>30</v>
      </c>
      <c r="O175">
        <v>30</v>
      </c>
      <c r="Q175">
        <v>60</v>
      </c>
      <c r="R175">
        <v>4</v>
      </c>
      <c r="S175" t="s">
        <v>56</v>
      </c>
    </row>
    <row r="176" spans="11:19" x14ac:dyDescent="0.25">
      <c r="K176">
        <v>4</v>
      </c>
      <c r="L176" t="s">
        <v>453</v>
      </c>
      <c r="M176">
        <v>5</v>
      </c>
      <c r="O176">
        <v>10</v>
      </c>
      <c r="Q176">
        <v>15</v>
      </c>
      <c r="R176">
        <v>1</v>
      </c>
      <c r="S176" t="s">
        <v>99</v>
      </c>
    </row>
    <row r="177" spans="11:20" x14ac:dyDescent="0.25">
      <c r="K177">
        <v>5</v>
      </c>
      <c r="L177" t="s">
        <v>448</v>
      </c>
      <c r="M177">
        <v>15</v>
      </c>
      <c r="O177">
        <v>30</v>
      </c>
      <c r="Q177">
        <v>45</v>
      </c>
      <c r="R177">
        <v>3</v>
      </c>
      <c r="S177" t="s">
        <v>99</v>
      </c>
    </row>
    <row r="178" spans="11:20" x14ac:dyDescent="0.25">
      <c r="K178">
        <v>6</v>
      </c>
      <c r="L178" t="s">
        <v>678</v>
      </c>
      <c r="P178">
        <v>160</v>
      </c>
      <c r="Q178">
        <v>160</v>
      </c>
      <c r="R178">
        <v>6</v>
      </c>
      <c r="S178" t="s">
        <v>99</v>
      </c>
    </row>
    <row r="179" spans="11:20" x14ac:dyDescent="0.25">
      <c r="K179">
        <v>7</v>
      </c>
      <c r="L179" t="s">
        <v>679</v>
      </c>
      <c r="P179">
        <v>160</v>
      </c>
      <c r="Q179">
        <v>160</v>
      </c>
      <c r="R179">
        <v>6</v>
      </c>
      <c r="S179" t="s">
        <v>99</v>
      </c>
    </row>
    <row r="180" spans="11:20" x14ac:dyDescent="0.25">
      <c r="K180">
        <v>8</v>
      </c>
      <c r="L180" t="s">
        <v>706</v>
      </c>
      <c r="O180">
        <v>40</v>
      </c>
      <c r="Q180">
        <v>40</v>
      </c>
      <c r="R180">
        <v>2</v>
      </c>
      <c r="S180" t="s">
        <v>99</v>
      </c>
    </row>
    <row r="181" spans="11:20" x14ac:dyDescent="0.25">
      <c r="K181">
        <v>9</v>
      </c>
      <c r="L181" t="s">
        <v>705</v>
      </c>
      <c r="M181">
        <v>10</v>
      </c>
      <c r="O181">
        <v>30</v>
      </c>
      <c r="Q181">
        <v>40</v>
      </c>
      <c r="R181">
        <v>2</v>
      </c>
      <c r="S181" t="s">
        <v>99</v>
      </c>
    </row>
    <row r="182" spans="11:20" x14ac:dyDescent="0.25">
      <c r="K182">
        <v>10</v>
      </c>
      <c r="L182" t="s">
        <v>695</v>
      </c>
      <c r="M182">
        <v>60</v>
      </c>
      <c r="O182">
        <v>60</v>
      </c>
      <c r="Q182">
        <v>120</v>
      </c>
      <c r="R182">
        <v>6</v>
      </c>
      <c r="S182" t="s">
        <v>56</v>
      </c>
    </row>
    <row r="183" spans="11:20" x14ac:dyDescent="0.25">
      <c r="K183">
        <v>11</v>
      </c>
      <c r="L183" t="s">
        <v>456</v>
      </c>
      <c r="M183">
        <v>30</v>
      </c>
      <c r="O183">
        <v>40</v>
      </c>
      <c r="Q183">
        <v>70</v>
      </c>
      <c r="R183">
        <v>5</v>
      </c>
      <c r="S183" t="s">
        <v>56</v>
      </c>
    </row>
    <row r="184" spans="11:20" x14ac:dyDescent="0.25">
      <c r="K184">
        <v>12</v>
      </c>
      <c r="L184" t="s">
        <v>446</v>
      </c>
      <c r="M184">
        <v>30</v>
      </c>
      <c r="O184">
        <v>30</v>
      </c>
      <c r="Q184">
        <v>60</v>
      </c>
      <c r="R184">
        <v>4</v>
      </c>
      <c r="S184" t="s">
        <v>56</v>
      </c>
    </row>
    <row r="185" spans="11:20" x14ac:dyDescent="0.25">
      <c r="K185">
        <v>13</v>
      </c>
      <c r="L185" t="s">
        <v>461</v>
      </c>
      <c r="M185">
        <v>30</v>
      </c>
      <c r="O185">
        <v>40</v>
      </c>
      <c r="Q185">
        <v>70</v>
      </c>
      <c r="R185">
        <v>5</v>
      </c>
      <c r="S185" t="s">
        <v>56</v>
      </c>
    </row>
    <row r="186" spans="11:20" x14ac:dyDescent="0.25">
      <c r="K186">
        <v>14</v>
      </c>
      <c r="L186" t="s">
        <v>696</v>
      </c>
      <c r="M186">
        <v>50</v>
      </c>
      <c r="O186">
        <v>50</v>
      </c>
      <c r="Q186">
        <v>100</v>
      </c>
      <c r="R186">
        <v>5</v>
      </c>
      <c r="S186" t="s">
        <v>56</v>
      </c>
    </row>
    <row r="187" spans="11:20" x14ac:dyDescent="0.25">
      <c r="K187" s="732">
        <v>15</v>
      </c>
      <c r="L187" s="732" t="s">
        <v>449</v>
      </c>
      <c r="M187" s="732">
        <v>30</v>
      </c>
      <c r="N187" s="732">
        <v>20</v>
      </c>
      <c r="O187" s="732"/>
      <c r="P187" s="732"/>
      <c r="Q187" s="732">
        <v>50</v>
      </c>
      <c r="R187" s="732">
        <v>3</v>
      </c>
      <c r="S187" s="732" t="s">
        <v>56</v>
      </c>
      <c r="T187" s="732"/>
    </row>
    <row r="188" spans="11:20" x14ac:dyDescent="0.25">
      <c r="K188" t="s">
        <v>21</v>
      </c>
      <c r="M188">
        <v>320</v>
      </c>
      <c r="N188">
        <v>20</v>
      </c>
      <c r="O188">
        <v>450</v>
      </c>
      <c r="P188">
        <v>320</v>
      </c>
      <c r="Q188">
        <v>1110</v>
      </c>
      <c r="R188">
        <v>60</v>
      </c>
    </row>
    <row r="189" spans="11:20" x14ac:dyDescent="0.25">
      <c r="M189">
        <f>SUM(M173:M187)</f>
        <v>310</v>
      </c>
      <c r="N189">
        <f t="shared" ref="N189:R189" si="8">SUM(N173:N187)</f>
        <v>20</v>
      </c>
      <c r="O189">
        <f t="shared" si="8"/>
        <v>420</v>
      </c>
      <c r="P189">
        <f t="shared" si="8"/>
        <v>320</v>
      </c>
      <c r="Q189">
        <f t="shared" si="8"/>
        <v>1070</v>
      </c>
      <c r="R189">
        <f t="shared" si="8"/>
        <v>60</v>
      </c>
    </row>
    <row r="193" spans="11:19" x14ac:dyDescent="0.25">
      <c r="K193" t="s">
        <v>638</v>
      </c>
      <c r="M193" t="s">
        <v>631</v>
      </c>
      <c r="N193" t="s">
        <v>632</v>
      </c>
      <c r="O193" t="s">
        <v>633</v>
      </c>
      <c r="P193" t="s">
        <v>634</v>
      </c>
      <c r="Q193" t="s">
        <v>635</v>
      </c>
      <c r="R193" t="s">
        <v>637</v>
      </c>
      <c r="S193" t="s">
        <v>640</v>
      </c>
    </row>
    <row r="194" spans="11:19" x14ac:dyDescent="0.25">
      <c r="L194" t="s">
        <v>630</v>
      </c>
      <c r="Q194" t="s">
        <v>636</v>
      </c>
      <c r="R194" t="s">
        <v>129</v>
      </c>
      <c r="S194" t="s">
        <v>641</v>
      </c>
    </row>
    <row r="195" spans="11:19" x14ac:dyDescent="0.25">
      <c r="S195" t="s">
        <v>642</v>
      </c>
    </row>
    <row r="196" spans="11:19" x14ac:dyDescent="0.25">
      <c r="K196">
        <v>1</v>
      </c>
      <c r="L196" t="s">
        <v>645</v>
      </c>
      <c r="M196">
        <v>15</v>
      </c>
      <c r="N196">
        <v>15</v>
      </c>
      <c r="O196">
        <v>30</v>
      </c>
      <c r="Q196">
        <v>60</v>
      </c>
      <c r="R196">
        <v>4</v>
      </c>
      <c r="S196" t="s">
        <v>56</v>
      </c>
    </row>
    <row r="197" spans="11:19" x14ac:dyDescent="0.25">
      <c r="K197">
        <v>2</v>
      </c>
      <c r="L197" t="s">
        <v>646</v>
      </c>
      <c r="M197">
        <v>15</v>
      </c>
      <c r="N197">
        <v>10</v>
      </c>
      <c r="Q197">
        <v>25</v>
      </c>
      <c r="R197">
        <v>1</v>
      </c>
      <c r="S197" t="s">
        <v>99</v>
      </c>
    </row>
    <row r="198" spans="11:19" x14ac:dyDescent="0.25">
      <c r="K198">
        <v>3</v>
      </c>
      <c r="L198" t="s">
        <v>522</v>
      </c>
      <c r="M198">
        <v>30</v>
      </c>
      <c r="O198">
        <v>20</v>
      </c>
      <c r="Q198">
        <v>50</v>
      </c>
      <c r="R198">
        <v>5</v>
      </c>
      <c r="S198" t="s">
        <v>56</v>
      </c>
    </row>
    <row r="199" spans="11:19" x14ac:dyDescent="0.25">
      <c r="K199">
        <v>4</v>
      </c>
      <c r="L199" t="s">
        <v>647</v>
      </c>
      <c r="M199">
        <v>15</v>
      </c>
      <c r="O199">
        <v>20</v>
      </c>
      <c r="Q199">
        <v>35</v>
      </c>
      <c r="R199">
        <v>2</v>
      </c>
      <c r="S199" t="s">
        <v>99</v>
      </c>
    </row>
    <row r="200" spans="11:19" x14ac:dyDescent="0.25">
      <c r="K200">
        <v>5</v>
      </c>
      <c r="L200" t="s">
        <v>432</v>
      </c>
      <c r="O200">
        <v>30</v>
      </c>
      <c r="Q200">
        <v>30</v>
      </c>
      <c r="R200">
        <v>0</v>
      </c>
      <c r="S200" t="s">
        <v>57</v>
      </c>
    </row>
    <row r="201" spans="11:19" x14ac:dyDescent="0.25">
      <c r="K201">
        <v>6</v>
      </c>
      <c r="L201" t="s">
        <v>667</v>
      </c>
      <c r="O201">
        <v>60</v>
      </c>
      <c r="Q201">
        <v>60</v>
      </c>
      <c r="R201">
        <v>4</v>
      </c>
      <c r="S201" t="s">
        <v>99</v>
      </c>
    </row>
    <row r="202" spans="11:19" x14ac:dyDescent="0.25">
      <c r="K202">
        <v>7</v>
      </c>
      <c r="L202" t="s">
        <v>707</v>
      </c>
      <c r="M202">
        <v>30</v>
      </c>
      <c r="N202">
        <v>10</v>
      </c>
      <c r="Q202">
        <v>40</v>
      </c>
      <c r="R202">
        <v>4</v>
      </c>
      <c r="S202" t="s">
        <v>99</v>
      </c>
    </row>
    <row r="203" spans="11:19" x14ac:dyDescent="0.25">
      <c r="K203">
        <v>8</v>
      </c>
      <c r="L203" t="s">
        <v>649</v>
      </c>
      <c r="M203">
        <v>15</v>
      </c>
      <c r="O203">
        <v>20</v>
      </c>
      <c r="Q203">
        <v>35</v>
      </c>
      <c r="R203">
        <v>4</v>
      </c>
      <c r="S203" t="s">
        <v>56</v>
      </c>
    </row>
    <row r="204" spans="11:19" x14ac:dyDescent="0.25">
      <c r="K204">
        <v>9</v>
      </c>
      <c r="L204" t="s">
        <v>436</v>
      </c>
      <c r="M204">
        <v>5</v>
      </c>
      <c r="O204">
        <v>10</v>
      </c>
      <c r="Q204">
        <v>15</v>
      </c>
      <c r="R204">
        <v>1</v>
      </c>
      <c r="S204" t="s">
        <v>99</v>
      </c>
    </row>
    <row r="205" spans="11:19" x14ac:dyDescent="0.25">
      <c r="K205">
        <v>10</v>
      </c>
      <c r="L205" t="s">
        <v>445</v>
      </c>
      <c r="O205">
        <v>30</v>
      </c>
      <c r="Q205">
        <v>30</v>
      </c>
      <c r="R205">
        <v>2</v>
      </c>
      <c r="S205" t="s">
        <v>99</v>
      </c>
    </row>
    <row r="206" spans="11:19" x14ac:dyDescent="0.25">
      <c r="K206">
        <v>11</v>
      </c>
      <c r="L206" t="s">
        <v>708</v>
      </c>
      <c r="O206">
        <v>40</v>
      </c>
      <c r="Q206">
        <v>40</v>
      </c>
      <c r="R206">
        <v>2</v>
      </c>
      <c r="S206" t="s">
        <v>99</v>
      </c>
    </row>
    <row r="207" spans="11:19" x14ac:dyDescent="0.25">
      <c r="K207">
        <v>12</v>
      </c>
      <c r="L207" t="s">
        <v>652</v>
      </c>
      <c r="M207">
        <v>10</v>
      </c>
      <c r="O207">
        <v>30</v>
      </c>
      <c r="Q207">
        <v>40</v>
      </c>
      <c r="R207">
        <v>2</v>
      </c>
      <c r="S207" t="s">
        <v>99</v>
      </c>
    </row>
    <row r="208" spans="11:19" x14ac:dyDescent="0.25">
      <c r="K208">
        <v>13</v>
      </c>
      <c r="L208" t="s">
        <v>624</v>
      </c>
      <c r="M208">
        <v>30</v>
      </c>
      <c r="O208">
        <v>30</v>
      </c>
      <c r="Q208">
        <v>60</v>
      </c>
      <c r="R208">
        <v>6</v>
      </c>
      <c r="S208" t="s">
        <v>56</v>
      </c>
    </row>
    <row r="209" spans="11:45" x14ac:dyDescent="0.25">
      <c r="K209">
        <v>14</v>
      </c>
      <c r="L209" t="s">
        <v>443</v>
      </c>
      <c r="M209">
        <v>30</v>
      </c>
      <c r="O209">
        <v>30</v>
      </c>
      <c r="Q209">
        <v>60</v>
      </c>
      <c r="R209">
        <v>5</v>
      </c>
      <c r="S209" t="s">
        <v>56</v>
      </c>
    </row>
    <row r="210" spans="11:45" x14ac:dyDescent="0.25">
      <c r="K210">
        <v>15</v>
      </c>
      <c r="L210" t="s">
        <v>444</v>
      </c>
      <c r="N210">
        <v>5</v>
      </c>
      <c r="O210">
        <v>40</v>
      </c>
      <c r="Q210">
        <v>45</v>
      </c>
      <c r="R210">
        <v>4</v>
      </c>
      <c r="S210" t="s">
        <v>99</v>
      </c>
    </row>
    <row r="211" spans="11:45" x14ac:dyDescent="0.25">
      <c r="K211">
        <v>16</v>
      </c>
      <c r="L211" t="s">
        <v>433</v>
      </c>
      <c r="M211">
        <v>30</v>
      </c>
      <c r="O211">
        <v>30</v>
      </c>
      <c r="Q211">
        <v>60</v>
      </c>
      <c r="R211">
        <v>5</v>
      </c>
      <c r="S211" t="s">
        <v>99</v>
      </c>
    </row>
    <row r="212" spans="11:45" x14ac:dyDescent="0.25">
      <c r="K212">
        <v>17</v>
      </c>
      <c r="L212" t="s">
        <v>651</v>
      </c>
      <c r="M212">
        <v>30</v>
      </c>
      <c r="O212">
        <v>30</v>
      </c>
      <c r="Q212">
        <v>60</v>
      </c>
      <c r="R212">
        <v>5</v>
      </c>
      <c r="S212" t="s">
        <v>56</v>
      </c>
    </row>
    <row r="213" spans="11:45" x14ac:dyDescent="0.25">
      <c r="K213">
        <v>18</v>
      </c>
      <c r="L213" t="s">
        <v>435</v>
      </c>
      <c r="M213">
        <v>30</v>
      </c>
      <c r="O213">
        <v>30</v>
      </c>
      <c r="Q213">
        <v>60</v>
      </c>
      <c r="R213">
        <v>4</v>
      </c>
      <c r="S213" t="s">
        <v>56</v>
      </c>
    </row>
    <row r="214" spans="11:45" x14ac:dyDescent="0.25">
      <c r="K214">
        <v>19</v>
      </c>
      <c r="L214" t="s">
        <v>437</v>
      </c>
      <c r="O214">
        <v>60</v>
      </c>
      <c r="Q214">
        <v>60</v>
      </c>
      <c r="R214">
        <v>0</v>
      </c>
      <c r="S214" t="s">
        <v>57</v>
      </c>
    </row>
    <row r="215" spans="11:45" x14ac:dyDescent="0.25">
      <c r="K215" s="732">
        <v>20</v>
      </c>
      <c r="L215" s="732" t="s">
        <v>438</v>
      </c>
      <c r="M215" s="732"/>
      <c r="N215" s="732"/>
      <c r="O215" s="732">
        <v>5</v>
      </c>
      <c r="P215" s="732"/>
      <c r="Q215" s="732">
        <v>5</v>
      </c>
      <c r="R215" s="732">
        <v>0</v>
      </c>
      <c r="S215" s="732" t="s">
        <v>57</v>
      </c>
    </row>
    <row r="216" spans="11:45" x14ac:dyDescent="0.25">
      <c r="K216" t="s">
        <v>21</v>
      </c>
      <c r="M216">
        <v>275</v>
      </c>
      <c r="N216">
        <v>40</v>
      </c>
      <c r="O216">
        <v>515</v>
      </c>
      <c r="Q216">
        <v>830</v>
      </c>
      <c r="R216">
        <v>60</v>
      </c>
    </row>
    <row r="217" spans="11:45" x14ac:dyDescent="0.25">
      <c r="M217">
        <f>SUM(M196:M215)</f>
        <v>285</v>
      </c>
      <c r="N217">
        <f t="shared" ref="N217:R217" si="9">SUM(N196:N215)</f>
        <v>40</v>
      </c>
      <c r="O217">
        <f t="shared" si="9"/>
        <v>545</v>
      </c>
      <c r="P217">
        <f t="shared" si="9"/>
        <v>0</v>
      </c>
      <c r="Q217">
        <f t="shared" si="9"/>
        <v>870</v>
      </c>
      <c r="R217">
        <f t="shared" si="9"/>
        <v>60</v>
      </c>
    </row>
    <row r="222" spans="11:45" ht="15.75" thickBot="1" x14ac:dyDescent="0.3"/>
    <row r="223" spans="11:45" ht="15.75" thickBot="1" x14ac:dyDescent="0.3">
      <c r="K223" s="1375" t="s">
        <v>638</v>
      </c>
      <c r="L223" s="1419" t="s">
        <v>2</v>
      </c>
      <c r="M223" s="1376" t="s">
        <v>688</v>
      </c>
      <c r="N223" s="1393"/>
      <c r="O223" s="1393"/>
      <c r="P223" s="1393"/>
      <c r="Q223" s="1393"/>
      <c r="R223" s="1393"/>
      <c r="S223" s="1393"/>
      <c r="T223" s="1393"/>
      <c r="U223" s="1393"/>
      <c r="V223" s="1393"/>
      <c r="W223" s="1393"/>
      <c r="X223" s="1393"/>
      <c r="Y223" s="1393"/>
      <c r="Z223" s="1377"/>
      <c r="AA223" s="1394" t="s">
        <v>689</v>
      </c>
      <c r="AB223" s="1395"/>
      <c r="AC223" s="1395"/>
      <c r="AD223" s="1395"/>
      <c r="AE223" s="1395"/>
      <c r="AF223" s="1395"/>
      <c r="AG223" s="1395"/>
      <c r="AH223" s="1395"/>
      <c r="AI223" s="1395"/>
      <c r="AJ223" s="1395"/>
      <c r="AK223" s="1395"/>
      <c r="AL223" s="1395"/>
      <c r="AM223" s="1395"/>
      <c r="AN223" s="1396"/>
      <c r="AO223" s="1397" t="s">
        <v>28</v>
      </c>
      <c r="AP223" s="1393"/>
      <c r="AQ223" s="1393"/>
      <c r="AR223" s="1398"/>
      <c r="AS223" s="1375" t="s">
        <v>690</v>
      </c>
    </row>
    <row r="224" spans="11:45" ht="15.75" thickBot="1" x14ac:dyDescent="0.3">
      <c r="K224" s="1373"/>
      <c r="L224" s="1420"/>
      <c r="M224" s="1383" t="s">
        <v>6</v>
      </c>
      <c r="N224" s="1383" t="s">
        <v>7</v>
      </c>
      <c r="O224" s="1383" t="s">
        <v>8</v>
      </c>
      <c r="P224" s="1383" t="s">
        <v>9</v>
      </c>
      <c r="Q224" s="1383" t="s">
        <v>691</v>
      </c>
      <c r="R224" s="1383" t="s">
        <v>10</v>
      </c>
      <c r="S224" s="1383" t="s">
        <v>11</v>
      </c>
      <c r="T224" s="1383" t="s">
        <v>14</v>
      </c>
      <c r="U224" s="1383" t="s">
        <v>15</v>
      </c>
      <c r="V224" s="1383" t="s">
        <v>54</v>
      </c>
      <c r="W224" s="1383" t="s">
        <v>16</v>
      </c>
      <c r="X224" s="1375" t="s">
        <v>692</v>
      </c>
      <c r="Y224" s="1375" t="s">
        <v>67</v>
      </c>
      <c r="Z224" s="1375" t="s">
        <v>19</v>
      </c>
      <c r="AA224" s="1383" t="s">
        <v>6</v>
      </c>
      <c r="AB224" s="1383" t="s">
        <v>7</v>
      </c>
      <c r="AC224" s="1383" t="s">
        <v>20</v>
      </c>
      <c r="AD224" s="1383" t="s">
        <v>9</v>
      </c>
      <c r="AE224" s="1383" t="s">
        <v>691</v>
      </c>
      <c r="AF224" s="1383" t="s">
        <v>10</v>
      </c>
      <c r="AG224" s="1375" t="s">
        <v>11</v>
      </c>
      <c r="AH224" s="1375" t="s">
        <v>14</v>
      </c>
      <c r="AI224" s="1375" t="s">
        <v>15</v>
      </c>
      <c r="AJ224" s="1375" t="s">
        <v>54</v>
      </c>
      <c r="AK224" s="1375" t="s">
        <v>16</v>
      </c>
      <c r="AL224" s="1375" t="s">
        <v>692</v>
      </c>
      <c r="AM224" s="1375" t="s">
        <v>67</v>
      </c>
      <c r="AN224" s="1375" t="s">
        <v>19</v>
      </c>
      <c r="AO224" s="1422" t="s">
        <v>69</v>
      </c>
      <c r="AP224" s="1423"/>
      <c r="AQ224" s="1424"/>
      <c r="AR224" s="1425" t="s">
        <v>693</v>
      </c>
      <c r="AS224" s="1373"/>
    </row>
    <row r="225" spans="11:45" ht="102" customHeight="1" thickBot="1" x14ac:dyDescent="0.3">
      <c r="K225" s="1374"/>
      <c r="L225" s="1421"/>
      <c r="M225" s="1384"/>
      <c r="N225" s="1384"/>
      <c r="O225" s="1384"/>
      <c r="P225" s="1384"/>
      <c r="Q225" s="1384"/>
      <c r="R225" s="1384"/>
      <c r="S225" s="1384"/>
      <c r="T225" s="1384"/>
      <c r="U225" s="1384"/>
      <c r="V225" s="1384"/>
      <c r="W225" s="1384"/>
      <c r="X225" s="1374"/>
      <c r="Y225" s="1374"/>
      <c r="Z225" s="1374"/>
      <c r="AA225" s="1384"/>
      <c r="AB225" s="1384"/>
      <c r="AC225" s="1384"/>
      <c r="AD225" s="1384"/>
      <c r="AE225" s="1384"/>
      <c r="AF225" s="1384"/>
      <c r="AG225" s="1374"/>
      <c r="AH225" s="1374"/>
      <c r="AI225" s="1374"/>
      <c r="AJ225" s="1374"/>
      <c r="AK225" s="1374"/>
      <c r="AL225" s="1374"/>
      <c r="AM225" s="1374"/>
      <c r="AN225" s="1374"/>
      <c r="AO225" s="740" t="s">
        <v>72</v>
      </c>
      <c r="AP225" s="740" t="s">
        <v>68</v>
      </c>
      <c r="AQ225" s="740" t="s">
        <v>71</v>
      </c>
      <c r="AR225" s="1426"/>
      <c r="AS225" s="1374"/>
    </row>
    <row r="226" spans="11:45" ht="24.75" thickBot="1" x14ac:dyDescent="0.3">
      <c r="K226" s="631">
        <v>1</v>
      </c>
      <c r="L226" s="741" t="s">
        <v>645</v>
      </c>
      <c r="M226" s="747"/>
      <c r="N226" s="748"/>
      <c r="O226" s="748"/>
      <c r="P226" s="748"/>
      <c r="Q226" s="748"/>
      <c r="R226" s="748"/>
      <c r="S226" s="748"/>
      <c r="T226" s="748"/>
      <c r="U226" s="748"/>
      <c r="V226" s="748"/>
      <c r="W226" s="748"/>
      <c r="X226" s="749"/>
      <c r="Y226" s="750"/>
      <c r="Z226" s="747"/>
      <c r="AA226" s="751">
        <v>15</v>
      </c>
      <c r="AB226" s="751">
        <v>15</v>
      </c>
      <c r="AC226" s="748"/>
      <c r="AD226" s="748"/>
      <c r="AE226" s="748"/>
      <c r="AF226" s="751">
        <v>30</v>
      </c>
      <c r="AG226" s="748"/>
      <c r="AH226" s="748"/>
      <c r="AI226" s="748"/>
      <c r="AJ226" s="748"/>
      <c r="AK226" s="748"/>
      <c r="AL226" s="751">
        <v>60</v>
      </c>
      <c r="AM226" s="752">
        <v>40</v>
      </c>
      <c r="AN226" s="753">
        <v>4</v>
      </c>
      <c r="AO226" s="754">
        <v>60</v>
      </c>
      <c r="AP226" s="754">
        <v>40</v>
      </c>
      <c r="AQ226" s="754">
        <v>100</v>
      </c>
      <c r="AR226" s="754">
        <v>4</v>
      </c>
      <c r="AS226" s="634" t="s">
        <v>56</v>
      </c>
    </row>
    <row r="227" spans="11:45" ht="15.75" thickBot="1" x14ac:dyDescent="0.3">
      <c r="K227" s="631">
        <v>2</v>
      </c>
      <c r="L227" s="741" t="s">
        <v>646</v>
      </c>
      <c r="M227" s="753">
        <v>15</v>
      </c>
      <c r="N227" s="751">
        <v>10</v>
      </c>
      <c r="O227" s="748"/>
      <c r="P227" s="748"/>
      <c r="Q227" s="748"/>
      <c r="R227" s="748"/>
      <c r="S227" s="748"/>
      <c r="T227" s="748"/>
      <c r="U227" s="748"/>
      <c r="V227" s="748"/>
      <c r="W227" s="748"/>
      <c r="X227" s="751">
        <v>25</v>
      </c>
      <c r="Y227" s="750"/>
      <c r="Z227" s="753">
        <v>1</v>
      </c>
      <c r="AA227" s="748"/>
      <c r="AB227" s="748"/>
      <c r="AC227" s="748"/>
      <c r="AD227" s="748"/>
      <c r="AE227" s="748"/>
      <c r="AF227" s="748"/>
      <c r="AG227" s="748"/>
      <c r="AH227" s="748"/>
      <c r="AI227" s="748"/>
      <c r="AJ227" s="748"/>
      <c r="AK227" s="748"/>
      <c r="AL227" s="749"/>
      <c r="AM227" s="750"/>
      <c r="AN227" s="747"/>
      <c r="AO227" s="754">
        <v>25</v>
      </c>
      <c r="AP227" s="754">
        <v>0</v>
      </c>
      <c r="AQ227" s="754">
        <v>25</v>
      </c>
      <c r="AR227" s="754">
        <v>1</v>
      </c>
      <c r="AS227" s="634" t="s">
        <v>99</v>
      </c>
    </row>
    <row r="228" spans="11:45" ht="15.75" thickBot="1" x14ac:dyDescent="0.3">
      <c r="K228" s="631">
        <v>3</v>
      </c>
      <c r="L228" s="741" t="s">
        <v>522</v>
      </c>
      <c r="M228" s="753">
        <v>30</v>
      </c>
      <c r="N228" s="748"/>
      <c r="O228" s="751">
        <v>20</v>
      </c>
      <c r="P228" s="748"/>
      <c r="Q228" s="748"/>
      <c r="R228" s="748"/>
      <c r="S228" s="748"/>
      <c r="T228" s="748"/>
      <c r="U228" s="748"/>
      <c r="V228" s="748"/>
      <c r="W228" s="748"/>
      <c r="X228" s="751">
        <v>50</v>
      </c>
      <c r="Y228" s="752">
        <v>75</v>
      </c>
      <c r="Z228" s="753">
        <v>5</v>
      </c>
      <c r="AA228" s="748"/>
      <c r="AB228" s="748"/>
      <c r="AC228" s="748"/>
      <c r="AD228" s="748"/>
      <c r="AE228" s="748"/>
      <c r="AF228" s="748"/>
      <c r="AG228" s="748"/>
      <c r="AH228" s="748"/>
      <c r="AI228" s="748"/>
      <c r="AJ228" s="748"/>
      <c r="AK228" s="748"/>
      <c r="AL228" s="749"/>
      <c r="AM228" s="755"/>
      <c r="AN228" s="747"/>
      <c r="AO228" s="754">
        <v>50</v>
      </c>
      <c r="AP228" s="754">
        <v>75</v>
      </c>
      <c r="AQ228" s="754">
        <v>125</v>
      </c>
      <c r="AR228" s="754">
        <v>5</v>
      </c>
      <c r="AS228" s="634" t="s">
        <v>56</v>
      </c>
    </row>
    <row r="229" spans="11:45" ht="15.75" thickBot="1" x14ac:dyDescent="0.3">
      <c r="K229" s="631">
        <v>4</v>
      </c>
      <c r="L229" s="741" t="s">
        <v>647</v>
      </c>
      <c r="M229" s="747"/>
      <c r="N229" s="748"/>
      <c r="O229" s="748"/>
      <c r="P229" s="748"/>
      <c r="Q229" s="748"/>
      <c r="R229" s="748"/>
      <c r="S229" s="748"/>
      <c r="T229" s="748"/>
      <c r="U229" s="748"/>
      <c r="V229" s="748"/>
      <c r="W229" s="748"/>
      <c r="X229" s="749"/>
      <c r="Y229" s="750"/>
      <c r="Z229" s="747"/>
      <c r="AA229" s="751">
        <v>15</v>
      </c>
      <c r="AB229" s="748"/>
      <c r="AC229" s="748"/>
      <c r="AD229" s="751">
        <v>20</v>
      </c>
      <c r="AE229" s="748"/>
      <c r="AF229" s="748"/>
      <c r="AG229" s="748"/>
      <c r="AH229" s="748"/>
      <c r="AI229" s="748"/>
      <c r="AJ229" s="748"/>
      <c r="AK229" s="748"/>
      <c r="AL229" s="751">
        <v>35</v>
      </c>
      <c r="AM229" s="756">
        <v>15</v>
      </c>
      <c r="AN229" s="753">
        <v>2</v>
      </c>
      <c r="AO229" s="754">
        <v>35</v>
      </c>
      <c r="AP229" s="754">
        <v>15</v>
      </c>
      <c r="AQ229" s="754">
        <v>50</v>
      </c>
      <c r="AR229" s="754">
        <v>2</v>
      </c>
      <c r="AS229" s="634" t="s">
        <v>99</v>
      </c>
    </row>
    <row r="230" spans="11:45" ht="15.75" thickBot="1" x14ac:dyDescent="0.3">
      <c r="K230" s="631">
        <v>5</v>
      </c>
      <c r="L230" s="741" t="s">
        <v>432</v>
      </c>
      <c r="M230" s="747"/>
      <c r="N230" s="748"/>
      <c r="O230" s="748"/>
      <c r="P230" s="751">
        <v>20</v>
      </c>
      <c r="Q230" s="748"/>
      <c r="R230" s="748"/>
      <c r="S230" s="748"/>
      <c r="T230" s="748"/>
      <c r="U230" s="751">
        <v>10</v>
      </c>
      <c r="V230" s="748"/>
      <c r="W230" s="748"/>
      <c r="X230" s="751">
        <v>30</v>
      </c>
      <c r="Y230" s="750"/>
      <c r="Z230" s="747"/>
      <c r="AA230" s="748"/>
      <c r="AB230" s="748"/>
      <c r="AC230" s="748"/>
      <c r="AD230" s="748"/>
      <c r="AE230" s="748"/>
      <c r="AF230" s="748"/>
      <c r="AG230" s="748"/>
      <c r="AH230" s="748"/>
      <c r="AI230" s="748"/>
      <c r="AJ230" s="748"/>
      <c r="AK230" s="748"/>
      <c r="AL230" s="749"/>
      <c r="AM230" s="755"/>
      <c r="AN230" s="747"/>
      <c r="AO230" s="754">
        <v>30</v>
      </c>
      <c r="AP230" s="754">
        <v>0</v>
      </c>
      <c r="AQ230" s="754">
        <v>30</v>
      </c>
      <c r="AR230" s="754">
        <v>0</v>
      </c>
      <c r="AS230" s="634" t="s">
        <v>57</v>
      </c>
    </row>
    <row r="231" spans="11:45" ht="15.75" thickBot="1" x14ac:dyDescent="0.3">
      <c r="K231" s="631">
        <v>6</v>
      </c>
      <c r="L231" s="742" t="s">
        <v>667</v>
      </c>
      <c r="M231" s="747"/>
      <c r="N231" s="748"/>
      <c r="O231" s="748"/>
      <c r="P231" s="751"/>
      <c r="Q231" s="748"/>
      <c r="R231" s="748"/>
      <c r="S231" s="748"/>
      <c r="T231" s="748">
        <v>30</v>
      </c>
      <c r="U231" s="751"/>
      <c r="V231" s="748"/>
      <c r="W231" s="748"/>
      <c r="X231" s="751">
        <v>30</v>
      </c>
      <c r="Y231" s="750">
        <v>20</v>
      </c>
      <c r="Z231" s="747">
        <v>2</v>
      </c>
      <c r="AA231" s="748"/>
      <c r="AB231" s="748"/>
      <c r="AC231" s="748"/>
      <c r="AD231" s="748"/>
      <c r="AE231" s="748"/>
      <c r="AF231" s="748"/>
      <c r="AG231" s="748"/>
      <c r="AH231" s="748">
        <v>30</v>
      </c>
      <c r="AI231" s="748"/>
      <c r="AJ231" s="748"/>
      <c r="AK231" s="748"/>
      <c r="AL231" s="751">
        <v>30</v>
      </c>
      <c r="AM231" s="755">
        <v>20</v>
      </c>
      <c r="AN231" s="747">
        <v>2</v>
      </c>
      <c r="AO231" s="754">
        <v>60</v>
      </c>
      <c r="AP231" s="754">
        <v>40</v>
      </c>
      <c r="AQ231" s="754">
        <v>100</v>
      </c>
      <c r="AR231" s="754">
        <v>4</v>
      </c>
      <c r="AS231" s="634" t="s">
        <v>99</v>
      </c>
    </row>
    <row r="232" spans="11:45" ht="15.75" thickBot="1" x14ac:dyDescent="0.3">
      <c r="K232" s="631">
        <v>7</v>
      </c>
      <c r="L232" s="741" t="s">
        <v>434</v>
      </c>
      <c r="M232" s="747"/>
      <c r="N232" s="748"/>
      <c r="O232" s="748"/>
      <c r="P232" s="748"/>
      <c r="Q232" s="748"/>
      <c r="R232" s="748"/>
      <c r="S232" s="748"/>
      <c r="T232" s="748"/>
      <c r="U232" s="748"/>
      <c r="V232" s="748"/>
      <c r="W232" s="748"/>
      <c r="X232" s="749"/>
      <c r="Y232" s="750"/>
      <c r="Z232" s="747"/>
      <c r="AA232" s="751">
        <v>30</v>
      </c>
      <c r="AB232" s="748">
        <v>10</v>
      </c>
      <c r="AC232" s="748"/>
      <c r="AD232" s="748"/>
      <c r="AE232" s="748"/>
      <c r="AF232" s="748"/>
      <c r="AG232" s="748"/>
      <c r="AH232" s="748"/>
      <c r="AI232" s="748"/>
      <c r="AJ232" s="748"/>
      <c r="AK232" s="748"/>
      <c r="AL232" s="751">
        <v>40</v>
      </c>
      <c r="AM232" s="756">
        <v>60</v>
      </c>
      <c r="AN232" s="753">
        <v>4</v>
      </c>
      <c r="AO232" s="754">
        <v>40</v>
      </c>
      <c r="AP232" s="754">
        <v>60</v>
      </c>
      <c r="AQ232" s="754">
        <v>100</v>
      </c>
      <c r="AR232" s="754">
        <v>4</v>
      </c>
      <c r="AS232" s="634" t="s">
        <v>99</v>
      </c>
    </row>
    <row r="233" spans="11:45" ht="15.75" thickBot="1" x14ac:dyDescent="0.3">
      <c r="K233" s="631">
        <v>8</v>
      </c>
      <c r="L233" s="741" t="s">
        <v>649</v>
      </c>
      <c r="M233" s="753">
        <v>15</v>
      </c>
      <c r="N233" s="748"/>
      <c r="O233" s="748"/>
      <c r="P233" s="748"/>
      <c r="Q233" s="748"/>
      <c r="R233" s="751">
        <v>20</v>
      </c>
      <c r="S233" s="748"/>
      <c r="T233" s="748"/>
      <c r="U233" s="748"/>
      <c r="V233" s="748"/>
      <c r="W233" s="748"/>
      <c r="X233" s="751">
        <v>35</v>
      </c>
      <c r="Y233" s="752">
        <v>65</v>
      </c>
      <c r="Z233" s="753">
        <v>4</v>
      </c>
      <c r="AA233" s="748"/>
      <c r="AB233" s="748"/>
      <c r="AC233" s="748"/>
      <c r="AD233" s="748"/>
      <c r="AE233" s="748"/>
      <c r="AF233" s="748"/>
      <c r="AG233" s="748"/>
      <c r="AH233" s="748"/>
      <c r="AI233" s="748"/>
      <c r="AJ233" s="748"/>
      <c r="AK233" s="748"/>
      <c r="AL233" s="749"/>
      <c r="AM233" s="755"/>
      <c r="AN233" s="747"/>
      <c r="AO233" s="754">
        <v>35</v>
      </c>
      <c r="AP233" s="754">
        <v>65</v>
      </c>
      <c r="AQ233" s="754">
        <v>100</v>
      </c>
      <c r="AR233" s="754">
        <v>4</v>
      </c>
      <c r="AS233" s="634" t="s">
        <v>56</v>
      </c>
    </row>
    <row r="234" spans="11:45" ht="15.75" thickBot="1" x14ac:dyDescent="0.3">
      <c r="K234" s="631">
        <v>9</v>
      </c>
      <c r="L234" s="741" t="s">
        <v>436</v>
      </c>
      <c r="M234" s="753">
        <v>5</v>
      </c>
      <c r="N234" s="748"/>
      <c r="O234" s="748"/>
      <c r="P234" s="748"/>
      <c r="Q234" s="751">
        <v>10</v>
      </c>
      <c r="R234" s="748"/>
      <c r="S234" s="748"/>
      <c r="T234" s="748"/>
      <c r="U234" s="748"/>
      <c r="V234" s="748"/>
      <c r="W234" s="748"/>
      <c r="X234" s="751">
        <v>15</v>
      </c>
      <c r="Y234" s="752">
        <v>10</v>
      </c>
      <c r="Z234" s="753">
        <v>1</v>
      </c>
      <c r="AA234" s="748"/>
      <c r="AB234" s="748"/>
      <c r="AC234" s="748"/>
      <c r="AD234" s="748"/>
      <c r="AE234" s="748"/>
      <c r="AF234" s="748"/>
      <c r="AG234" s="748"/>
      <c r="AH234" s="748"/>
      <c r="AI234" s="748"/>
      <c r="AJ234" s="748"/>
      <c r="AK234" s="748"/>
      <c r="AL234" s="749"/>
      <c r="AM234" s="755"/>
      <c r="AN234" s="747"/>
      <c r="AO234" s="754">
        <v>15</v>
      </c>
      <c r="AP234" s="754">
        <v>10</v>
      </c>
      <c r="AQ234" s="754">
        <v>25</v>
      </c>
      <c r="AR234" s="754">
        <v>1</v>
      </c>
      <c r="AS234" s="634" t="s">
        <v>99</v>
      </c>
    </row>
    <row r="235" spans="11:45" ht="15.75" thickBot="1" x14ac:dyDescent="0.3">
      <c r="K235" s="631">
        <v>10</v>
      </c>
      <c r="L235" s="639" t="s">
        <v>445</v>
      </c>
      <c r="M235" s="748"/>
      <c r="N235" s="748"/>
      <c r="O235" s="748"/>
      <c r="P235" s="748"/>
      <c r="Q235" s="748"/>
      <c r="R235" s="748"/>
      <c r="S235" s="748"/>
      <c r="T235" s="748"/>
      <c r="U235" s="748"/>
      <c r="V235" s="748"/>
      <c r="W235" s="748"/>
      <c r="X235" s="749"/>
      <c r="Y235" s="748"/>
      <c r="Z235" s="748"/>
      <c r="AA235" s="748"/>
      <c r="AB235" s="748"/>
      <c r="AC235" s="748"/>
      <c r="AD235" s="751">
        <v>30</v>
      </c>
      <c r="AE235" s="748"/>
      <c r="AF235" s="748"/>
      <c r="AG235" s="748"/>
      <c r="AH235" s="748"/>
      <c r="AI235" s="748"/>
      <c r="AJ235" s="748"/>
      <c r="AK235" s="748"/>
      <c r="AL235" s="751">
        <v>30</v>
      </c>
      <c r="AM235" s="751">
        <v>20</v>
      </c>
      <c r="AN235" s="751">
        <v>2</v>
      </c>
      <c r="AO235" s="754">
        <v>30</v>
      </c>
      <c r="AP235" s="754">
        <v>20</v>
      </c>
      <c r="AQ235" s="754">
        <v>50</v>
      </c>
      <c r="AR235" s="754">
        <v>2</v>
      </c>
      <c r="AS235" s="634" t="s">
        <v>99</v>
      </c>
    </row>
    <row r="236" spans="11:45" ht="36.75" thickBot="1" x14ac:dyDescent="0.3">
      <c r="K236" s="631">
        <v>11</v>
      </c>
      <c r="L236" s="639" t="s">
        <v>708</v>
      </c>
      <c r="M236" s="748"/>
      <c r="N236" s="748"/>
      <c r="O236" s="748">
        <v>40</v>
      </c>
      <c r="P236" s="748"/>
      <c r="Q236" s="748"/>
      <c r="R236" s="748"/>
      <c r="S236" s="748"/>
      <c r="T236" s="748"/>
      <c r="U236" s="748"/>
      <c r="V236" s="748"/>
      <c r="W236" s="748"/>
      <c r="X236" s="751">
        <v>40</v>
      </c>
      <c r="Y236" s="757">
        <v>10</v>
      </c>
      <c r="Z236" s="748">
        <v>2</v>
      </c>
      <c r="AA236" s="748"/>
      <c r="AB236" s="748"/>
      <c r="AC236" s="748"/>
      <c r="AD236" s="751"/>
      <c r="AE236" s="748"/>
      <c r="AF236" s="748"/>
      <c r="AG236" s="748"/>
      <c r="AH236" s="748"/>
      <c r="AI236" s="748"/>
      <c r="AJ236" s="748"/>
      <c r="AK236" s="748"/>
      <c r="AL236" s="751"/>
      <c r="AM236" s="751"/>
      <c r="AN236" s="751"/>
      <c r="AO236" s="754">
        <v>40</v>
      </c>
      <c r="AP236" s="754">
        <v>10</v>
      </c>
      <c r="AQ236" s="754">
        <v>50</v>
      </c>
      <c r="AR236" s="754">
        <v>2</v>
      </c>
      <c r="AS236" s="634" t="s">
        <v>99</v>
      </c>
    </row>
    <row r="237" spans="11:45" ht="36.75" thickBot="1" x14ac:dyDescent="0.3">
      <c r="K237" s="631">
        <v>12</v>
      </c>
      <c r="L237" s="632" t="s">
        <v>652</v>
      </c>
      <c r="M237" s="748"/>
      <c r="N237" s="748"/>
      <c r="O237" s="748"/>
      <c r="P237" s="748"/>
      <c r="Q237" s="748"/>
      <c r="R237" s="748"/>
      <c r="S237" s="748"/>
      <c r="T237" s="748"/>
      <c r="U237" s="748"/>
      <c r="V237" s="748"/>
      <c r="W237" s="748"/>
      <c r="X237" s="751"/>
      <c r="Y237" s="757"/>
      <c r="Z237" s="748"/>
      <c r="AA237" s="748">
        <v>10</v>
      </c>
      <c r="AB237" s="748"/>
      <c r="AC237" s="748">
        <v>30</v>
      </c>
      <c r="AD237" s="751"/>
      <c r="AE237" s="748"/>
      <c r="AF237" s="748"/>
      <c r="AG237" s="748"/>
      <c r="AH237" s="748"/>
      <c r="AI237" s="748"/>
      <c r="AJ237" s="748"/>
      <c r="AK237" s="748"/>
      <c r="AL237" s="751">
        <v>40</v>
      </c>
      <c r="AM237" s="751">
        <v>10</v>
      </c>
      <c r="AN237" s="751">
        <v>2</v>
      </c>
      <c r="AO237" s="758">
        <v>40</v>
      </c>
      <c r="AP237" s="758">
        <v>10</v>
      </c>
      <c r="AQ237" s="758">
        <v>50</v>
      </c>
      <c r="AR237" s="758">
        <v>2</v>
      </c>
      <c r="AS237" s="634" t="s">
        <v>99</v>
      </c>
    </row>
    <row r="238" spans="11:45" ht="15.75" thickBot="1" x14ac:dyDescent="0.3">
      <c r="K238" s="631">
        <v>13</v>
      </c>
      <c r="L238" s="639" t="s">
        <v>624</v>
      </c>
      <c r="M238" s="748"/>
      <c r="N238" s="748"/>
      <c r="O238" s="748"/>
      <c r="P238" s="748"/>
      <c r="Q238" s="748"/>
      <c r="R238" s="748"/>
      <c r="S238" s="748"/>
      <c r="T238" s="748"/>
      <c r="U238" s="748"/>
      <c r="V238" s="748"/>
      <c r="W238" s="748"/>
      <c r="X238" s="751"/>
      <c r="Y238" s="748"/>
      <c r="Z238" s="748"/>
      <c r="AA238" s="751">
        <v>30</v>
      </c>
      <c r="AB238" s="748"/>
      <c r="AC238" s="751">
        <v>30</v>
      </c>
      <c r="AD238" s="748"/>
      <c r="AE238" s="748"/>
      <c r="AF238" s="748"/>
      <c r="AG238" s="748"/>
      <c r="AH238" s="748"/>
      <c r="AI238" s="748"/>
      <c r="AJ238" s="748"/>
      <c r="AK238" s="748"/>
      <c r="AL238" s="751">
        <v>60</v>
      </c>
      <c r="AM238" s="751">
        <v>90</v>
      </c>
      <c r="AN238" s="751">
        <v>6</v>
      </c>
      <c r="AO238" s="754">
        <v>60</v>
      </c>
      <c r="AP238" s="754">
        <v>90</v>
      </c>
      <c r="AQ238" s="754">
        <v>150</v>
      </c>
      <c r="AR238" s="754">
        <v>6</v>
      </c>
      <c r="AS238" s="634" t="s">
        <v>56</v>
      </c>
    </row>
    <row r="239" spans="11:45" ht="15.75" thickBot="1" x14ac:dyDescent="0.3">
      <c r="K239" s="631">
        <v>14</v>
      </c>
      <c r="L239" s="639" t="s">
        <v>443</v>
      </c>
      <c r="M239" s="748"/>
      <c r="N239" s="748"/>
      <c r="O239" s="748"/>
      <c r="P239" s="748"/>
      <c r="Q239" s="748"/>
      <c r="R239" s="748"/>
      <c r="S239" s="748"/>
      <c r="T239" s="748"/>
      <c r="U239" s="748"/>
      <c r="V239" s="748"/>
      <c r="W239" s="748"/>
      <c r="X239" s="751"/>
      <c r="Y239" s="748"/>
      <c r="Z239" s="748"/>
      <c r="AA239" s="751">
        <v>30</v>
      </c>
      <c r="AB239" s="748"/>
      <c r="AC239" s="751">
        <v>30</v>
      </c>
      <c r="AD239" s="748"/>
      <c r="AE239" s="748"/>
      <c r="AF239" s="748"/>
      <c r="AG239" s="748"/>
      <c r="AH239" s="748"/>
      <c r="AI239" s="748"/>
      <c r="AJ239" s="748"/>
      <c r="AK239" s="748"/>
      <c r="AL239" s="751">
        <v>60</v>
      </c>
      <c r="AM239" s="759">
        <v>65</v>
      </c>
      <c r="AN239" s="751">
        <v>5</v>
      </c>
      <c r="AO239" s="754">
        <v>60</v>
      </c>
      <c r="AP239" s="754">
        <v>65</v>
      </c>
      <c r="AQ239" s="754">
        <v>125</v>
      </c>
      <c r="AR239" s="754">
        <v>5</v>
      </c>
      <c r="AS239" s="634" t="s">
        <v>56</v>
      </c>
    </row>
    <row r="240" spans="11:45" ht="15.75" thickBot="1" x14ac:dyDescent="0.3">
      <c r="K240" s="631">
        <v>15</v>
      </c>
      <c r="L240" s="639" t="s">
        <v>444</v>
      </c>
      <c r="M240" s="748"/>
      <c r="N240" s="748"/>
      <c r="O240" s="748"/>
      <c r="P240" s="748"/>
      <c r="Q240" s="748"/>
      <c r="R240" s="748"/>
      <c r="S240" s="748"/>
      <c r="T240" s="748"/>
      <c r="U240" s="748"/>
      <c r="V240" s="748"/>
      <c r="W240" s="748"/>
      <c r="X240" s="751"/>
      <c r="Y240" s="748"/>
      <c r="Z240" s="748"/>
      <c r="AA240" s="748"/>
      <c r="AB240" s="751">
        <v>5</v>
      </c>
      <c r="AC240" s="748"/>
      <c r="AD240" s="751">
        <v>40</v>
      </c>
      <c r="AE240" s="748"/>
      <c r="AF240" s="748"/>
      <c r="AG240" s="748"/>
      <c r="AH240" s="748"/>
      <c r="AI240" s="748"/>
      <c r="AJ240" s="748"/>
      <c r="AK240" s="748"/>
      <c r="AL240" s="751">
        <v>45</v>
      </c>
      <c r="AM240" s="751">
        <v>55</v>
      </c>
      <c r="AN240" s="751">
        <v>4</v>
      </c>
      <c r="AO240" s="754">
        <v>45</v>
      </c>
      <c r="AP240" s="754">
        <v>55</v>
      </c>
      <c r="AQ240" s="754">
        <v>100</v>
      </c>
      <c r="AR240" s="754">
        <v>4</v>
      </c>
      <c r="AS240" s="634" t="s">
        <v>99</v>
      </c>
    </row>
    <row r="241" spans="1:45" ht="15.75" thickBot="1" x14ac:dyDescent="0.3">
      <c r="K241" s="631">
        <v>16</v>
      </c>
      <c r="L241" s="639" t="s">
        <v>433</v>
      </c>
      <c r="M241" s="751">
        <v>30</v>
      </c>
      <c r="N241" s="748"/>
      <c r="O241" s="748"/>
      <c r="P241" s="751">
        <v>30</v>
      </c>
      <c r="Q241" s="748"/>
      <c r="R241" s="748"/>
      <c r="S241" s="748"/>
      <c r="T241" s="748"/>
      <c r="U241" s="748"/>
      <c r="V241" s="748"/>
      <c r="W241" s="748"/>
      <c r="X241" s="751">
        <v>60</v>
      </c>
      <c r="Y241" s="751">
        <v>65</v>
      </c>
      <c r="Z241" s="751">
        <v>5</v>
      </c>
      <c r="AA241" s="748"/>
      <c r="AB241" s="748"/>
      <c r="AC241" s="748"/>
      <c r="AD241" s="748"/>
      <c r="AE241" s="748"/>
      <c r="AF241" s="748"/>
      <c r="AG241" s="748"/>
      <c r="AH241" s="748"/>
      <c r="AI241" s="748"/>
      <c r="AJ241" s="748"/>
      <c r="AK241" s="748"/>
      <c r="AL241" s="751"/>
      <c r="AM241" s="757"/>
      <c r="AN241" s="748"/>
      <c r="AO241" s="754">
        <v>60</v>
      </c>
      <c r="AP241" s="754">
        <v>65</v>
      </c>
      <c r="AQ241" s="754">
        <v>125</v>
      </c>
      <c r="AR241" s="754">
        <v>5</v>
      </c>
      <c r="AS241" s="634" t="s">
        <v>99</v>
      </c>
    </row>
    <row r="242" spans="1:45" ht="24.75" thickBot="1" x14ac:dyDescent="0.3">
      <c r="K242" s="631">
        <v>17</v>
      </c>
      <c r="L242" s="639" t="s">
        <v>651</v>
      </c>
      <c r="M242" s="751">
        <v>30</v>
      </c>
      <c r="N242" s="748"/>
      <c r="O242" s="751">
        <v>30</v>
      </c>
      <c r="P242" s="748"/>
      <c r="Q242" s="748"/>
      <c r="R242" s="748"/>
      <c r="S242" s="748"/>
      <c r="T242" s="748"/>
      <c r="U242" s="748"/>
      <c r="V242" s="748"/>
      <c r="W242" s="748"/>
      <c r="X242" s="751">
        <v>60</v>
      </c>
      <c r="Y242" s="751">
        <v>65</v>
      </c>
      <c r="Z242" s="751">
        <v>5</v>
      </c>
      <c r="AA242" s="748"/>
      <c r="AB242" s="748"/>
      <c r="AC242" s="748"/>
      <c r="AD242" s="748"/>
      <c r="AE242" s="748"/>
      <c r="AF242" s="748"/>
      <c r="AG242" s="748"/>
      <c r="AH242" s="748"/>
      <c r="AI242" s="748"/>
      <c r="AJ242" s="748"/>
      <c r="AK242" s="748"/>
      <c r="AL242" s="751"/>
      <c r="AM242" s="757"/>
      <c r="AN242" s="748"/>
      <c r="AO242" s="754">
        <v>60</v>
      </c>
      <c r="AP242" s="754">
        <v>65</v>
      </c>
      <c r="AQ242" s="754">
        <v>125</v>
      </c>
      <c r="AR242" s="754">
        <v>5</v>
      </c>
      <c r="AS242" s="634" t="s">
        <v>56</v>
      </c>
    </row>
    <row r="243" spans="1:45" ht="15.75" thickBot="1" x14ac:dyDescent="0.3">
      <c r="K243" s="631">
        <v>18</v>
      </c>
      <c r="L243" s="632" t="s">
        <v>435</v>
      </c>
      <c r="M243" s="751">
        <v>30</v>
      </c>
      <c r="N243" s="748"/>
      <c r="O243" s="751">
        <v>30</v>
      </c>
      <c r="P243" s="748"/>
      <c r="Q243" s="748"/>
      <c r="R243" s="748"/>
      <c r="S243" s="748"/>
      <c r="T243" s="748"/>
      <c r="U243" s="748"/>
      <c r="V243" s="748"/>
      <c r="W243" s="748"/>
      <c r="X243" s="751">
        <v>60</v>
      </c>
      <c r="Y243" s="751">
        <v>40</v>
      </c>
      <c r="Z243" s="751">
        <v>4</v>
      </c>
      <c r="AA243" s="748"/>
      <c r="AB243" s="748"/>
      <c r="AC243" s="748"/>
      <c r="AD243" s="748"/>
      <c r="AE243" s="748"/>
      <c r="AF243" s="748"/>
      <c r="AG243" s="748"/>
      <c r="AH243" s="748"/>
      <c r="AI243" s="748"/>
      <c r="AJ243" s="748"/>
      <c r="AK243" s="748"/>
      <c r="AL243" s="751"/>
      <c r="AM243" s="757"/>
      <c r="AN243" s="748"/>
      <c r="AO243" s="754">
        <v>60</v>
      </c>
      <c r="AP243" s="754">
        <v>40</v>
      </c>
      <c r="AQ243" s="754">
        <v>100</v>
      </c>
      <c r="AR243" s="754">
        <v>4</v>
      </c>
      <c r="AS243" s="634" t="s">
        <v>56</v>
      </c>
    </row>
    <row r="244" spans="1:45" ht="15.75" thickBot="1" x14ac:dyDescent="0.3">
      <c r="K244" s="631">
        <v>19</v>
      </c>
      <c r="L244" s="639" t="s">
        <v>437</v>
      </c>
      <c r="M244" s="748"/>
      <c r="N244" s="748"/>
      <c r="O244" s="748"/>
      <c r="P244" s="748"/>
      <c r="Q244" s="748"/>
      <c r="R244" s="748"/>
      <c r="S244" s="748"/>
      <c r="T244" s="748"/>
      <c r="U244" s="748"/>
      <c r="V244" s="751">
        <v>30</v>
      </c>
      <c r="W244" s="748"/>
      <c r="X244" s="751">
        <v>30</v>
      </c>
      <c r="Y244" s="748"/>
      <c r="Z244" s="751"/>
      <c r="AA244" s="748"/>
      <c r="AB244" s="748"/>
      <c r="AC244" s="748"/>
      <c r="AD244" s="748"/>
      <c r="AE244" s="748"/>
      <c r="AF244" s="748"/>
      <c r="AG244" s="748"/>
      <c r="AH244" s="748"/>
      <c r="AI244" s="748"/>
      <c r="AJ244" s="751">
        <v>30</v>
      </c>
      <c r="AK244" s="748"/>
      <c r="AL244" s="751">
        <v>30</v>
      </c>
      <c r="AM244" s="749"/>
      <c r="AN244" s="748"/>
      <c r="AO244" s="754">
        <v>60</v>
      </c>
      <c r="AP244" s="754">
        <v>0</v>
      </c>
      <c r="AQ244" s="754">
        <v>60</v>
      </c>
      <c r="AR244" s="754">
        <v>0</v>
      </c>
      <c r="AS244" s="634" t="s">
        <v>57</v>
      </c>
    </row>
    <row r="245" spans="1:45" ht="15.75" thickBot="1" x14ac:dyDescent="0.3">
      <c r="K245" s="631">
        <v>20</v>
      </c>
      <c r="L245" s="639" t="s">
        <v>438</v>
      </c>
      <c r="M245" s="748"/>
      <c r="N245" s="748"/>
      <c r="O245" s="748"/>
      <c r="P245" s="748"/>
      <c r="Q245" s="748"/>
      <c r="R245" s="748"/>
      <c r="S245" s="748"/>
      <c r="T245" s="748"/>
      <c r="U245" s="751">
        <v>5</v>
      </c>
      <c r="V245" s="748"/>
      <c r="W245" s="748"/>
      <c r="X245" s="751">
        <v>5</v>
      </c>
      <c r="Y245" s="748"/>
      <c r="Z245" s="751"/>
      <c r="AA245" s="748"/>
      <c r="AB245" s="748"/>
      <c r="AC245" s="748"/>
      <c r="AD245" s="748"/>
      <c r="AE245" s="748"/>
      <c r="AF245" s="748"/>
      <c r="AG245" s="748"/>
      <c r="AH245" s="748"/>
      <c r="AI245" s="748"/>
      <c r="AJ245" s="748"/>
      <c r="AK245" s="748"/>
      <c r="AL245" s="751"/>
      <c r="AM245" s="759"/>
      <c r="AN245" s="748"/>
      <c r="AO245" s="754">
        <v>5</v>
      </c>
      <c r="AP245" s="754">
        <v>0</v>
      </c>
      <c r="AQ245" s="754">
        <v>5</v>
      </c>
      <c r="AR245" s="754">
        <v>0</v>
      </c>
      <c r="AS245" s="634" t="s">
        <v>57</v>
      </c>
    </row>
    <row r="246" spans="1:45" s="744" customFormat="1" ht="15.75" thickBot="1" x14ac:dyDescent="0.3">
      <c r="A246" s="743"/>
      <c r="K246" s="1427" t="s">
        <v>21</v>
      </c>
      <c r="L246" s="1428"/>
      <c r="M246" s="745">
        <v>155</v>
      </c>
      <c r="N246" s="745">
        <v>10</v>
      </c>
      <c r="O246" s="745">
        <v>80</v>
      </c>
      <c r="P246" s="745">
        <v>50</v>
      </c>
      <c r="Q246" s="745">
        <v>10</v>
      </c>
      <c r="R246" s="745">
        <v>20</v>
      </c>
      <c r="S246" s="745">
        <v>0</v>
      </c>
      <c r="T246" s="745">
        <v>30</v>
      </c>
      <c r="U246" s="745">
        <v>15</v>
      </c>
      <c r="V246" s="745">
        <v>30</v>
      </c>
      <c r="W246" s="745">
        <v>0</v>
      </c>
      <c r="X246" s="745">
        <v>400</v>
      </c>
      <c r="Y246" s="745">
        <v>365</v>
      </c>
      <c r="Z246" s="745">
        <v>28</v>
      </c>
      <c r="AA246" s="745">
        <v>120</v>
      </c>
      <c r="AB246" s="745">
        <v>30</v>
      </c>
      <c r="AC246" s="745">
        <v>100</v>
      </c>
      <c r="AD246" s="745">
        <v>90</v>
      </c>
      <c r="AE246" s="745">
        <v>0</v>
      </c>
      <c r="AF246" s="745">
        <v>30</v>
      </c>
      <c r="AG246" s="745">
        <v>0</v>
      </c>
      <c r="AH246" s="745">
        <v>30</v>
      </c>
      <c r="AI246" s="745">
        <v>0</v>
      </c>
      <c r="AJ246" s="745">
        <v>30</v>
      </c>
      <c r="AK246" s="745">
        <v>0</v>
      </c>
      <c r="AL246" s="745">
        <v>430</v>
      </c>
      <c r="AM246" s="745">
        <v>400</v>
      </c>
      <c r="AN246" s="745">
        <v>32</v>
      </c>
      <c r="AO246" s="745">
        <v>830</v>
      </c>
      <c r="AP246" s="745">
        <v>765</v>
      </c>
      <c r="AQ246" s="745">
        <v>1595</v>
      </c>
      <c r="AR246" s="745">
        <v>60</v>
      </c>
      <c r="AS246" s="745">
        <v>0</v>
      </c>
    </row>
    <row r="247" spans="1:45" s="432" customFormat="1" x14ac:dyDescent="0.25">
      <c r="A247" s="746"/>
      <c r="M247" s="432">
        <f>SUM(M226:M245)</f>
        <v>155</v>
      </c>
      <c r="N247" s="432">
        <f t="shared" ref="N247:AR247" si="10">SUM(N226:N245)</f>
        <v>10</v>
      </c>
      <c r="O247" s="432">
        <f t="shared" si="10"/>
        <v>120</v>
      </c>
      <c r="P247" s="432">
        <f t="shared" si="10"/>
        <v>50</v>
      </c>
      <c r="Q247" s="432">
        <f t="shared" si="10"/>
        <v>10</v>
      </c>
      <c r="R247" s="432">
        <f t="shared" si="10"/>
        <v>20</v>
      </c>
      <c r="S247" s="432">
        <f t="shared" si="10"/>
        <v>0</v>
      </c>
      <c r="T247" s="432">
        <f t="shared" si="10"/>
        <v>30</v>
      </c>
      <c r="U247" s="432">
        <f t="shared" si="10"/>
        <v>15</v>
      </c>
      <c r="V247" s="432">
        <f t="shared" si="10"/>
        <v>30</v>
      </c>
      <c r="W247" s="432">
        <f t="shared" si="10"/>
        <v>0</v>
      </c>
      <c r="X247" s="432">
        <f t="shared" si="10"/>
        <v>440</v>
      </c>
      <c r="Y247" s="432">
        <f t="shared" si="10"/>
        <v>350</v>
      </c>
      <c r="Z247" s="432">
        <f t="shared" si="10"/>
        <v>29</v>
      </c>
      <c r="AA247" s="432">
        <f t="shared" si="10"/>
        <v>130</v>
      </c>
      <c r="AB247" s="432">
        <f t="shared" si="10"/>
        <v>30</v>
      </c>
      <c r="AC247" s="432">
        <f t="shared" si="10"/>
        <v>90</v>
      </c>
      <c r="AD247" s="432">
        <f t="shared" si="10"/>
        <v>90</v>
      </c>
      <c r="AE247" s="432">
        <f t="shared" si="10"/>
        <v>0</v>
      </c>
      <c r="AF247" s="432">
        <f t="shared" si="10"/>
        <v>30</v>
      </c>
      <c r="AG247" s="432">
        <f t="shared" si="10"/>
        <v>0</v>
      </c>
      <c r="AH247" s="432">
        <f t="shared" si="10"/>
        <v>30</v>
      </c>
      <c r="AI247" s="432">
        <f t="shared" si="10"/>
        <v>0</v>
      </c>
      <c r="AJ247" s="432">
        <f t="shared" si="10"/>
        <v>30</v>
      </c>
      <c r="AK247" s="432">
        <f t="shared" si="10"/>
        <v>0</v>
      </c>
      <c r="AL247" s="432">
        <f t="shared" si="10"/>
        <v>430</v>
      </c>
      <c r="AM247" s="432">
        <f t="shared" si="10"/>
        <v>375</v>
      </c>
      <c r="AN247" s="432">
        <f t="shared" si="10"/>
        <v>31</v>
      </c>
      <c r="AO247" s="432">
        <f t="shared" si="10"/>
        <v>870</v>
      </c>
      <c r="AP247" s="432">
        <f t="shared" si="10"/>
        <v>725</v>
      </c>
      <c r="AQ247" s="432">
        <f t="shared" si="10"/>
        <v>1595</v>
      </c>
      <c r="AR247" s="432">
        <f t="shared" si="10"/>
        <v>60</v>
      </c>
    </row>
    <row r="248" spans="1:45" ht="15.75" thickBot="1" x14ac:dyDescent="0.3"/>
    <row r="249" spans="1:45" ht="15.75" thickBot="1" x14ac:dyDescent="0.3">
      <c r="K249" s="1387" t="s">
        <v>638</v>
      </c>
      <c r="L249" s="1390" t="s">
        <v>2</v>
      </c>
      <c r="M249" s="1376" t="s">
        <v>688</v>
      </c>
      <c r="N249" s="1393"/>
      <c r="O249" s="1393"/>
      <c r="P249" s="1393"/>
      <c r="Q249" s="1393"/>
      <c r="R249" s="1393"/>
      <c r="S249" s="1393"/>
      <c r="T249" s="1393"/>
      <c r="U249" s="1393"/>
      <c r="V249" s="1393"/>
      <c r="W249" s="1393"/>
      <c r="X249" s="1393"/>
      <c r="Y249" s="1393"/>
      <c r="Z249" s="1377"/>
      <c r="AA249" s="1394" t="s">
        <v>689</v>
      </c>
      <c r="AB249" s="1395"/>
      <c r="AC249" s="1395"/>
      <c r="AD249" s="1395"/>
      <c r="AE249" s="1395"/>
      <c r="AF249" s="1395"/>
      <c r="AG249" s="1395"/>
      <c r="AH249" s="1395"/>
      <c r="AI249" s="1395"/>
      <c r="AJ249" s="1395"/>
      <c r="AK249" s="1395"/>
      <c r="AL249" s="1395"/>
      <c r="AM249" s="1395"/>
      <c r="AN249" s="1396"/>
      <c r="AO249" s="1397" t="s">
        <v>28</v>
      </c>
      <c r="AP249" s="1393"/>
      <c r="AQ249" s="1393"/>
      <c r="AR249" s="1398"/>
      <c r="AS249" s="629"/>
    </row>
    <row r="250" spans="1:45" ht="24" customHeight="1" thickBot="1" x14ac:dyDescent="0.3">
      <c r="K250" s="1388"/>
      <c r="L250" s="1391"/>
      <c r="M250" s="1429" t="s">
        <v>6</v>
      </c>
      <c r="N250" s="1429" t="s">
        <v>7</v>
      </c>
      <c r="O250" s="1429" t="s">
        <v>8</v>
      </c>
      <c r="P250" s="1429" t="s">
        <v>9</v>
      </c>
      <c r="Q250" s="1429" t="s">
        <v>691</v>
      </c>
      <c r="R250" s="1429" t="s">
        <v>10</v>
      </c>
      <c r="S250" s="1429" t="s">
        <v>11</v>
      </c>
      <c r="T250" s="1429" t="s">
        <v>14</v>
      </c>
      <c r="U250" s="1429" t="s">
        <v>15</v>
      </c>
      <c r="V250" s="1429" t="s">
        <v>54</v>
      </c>
      <c r="W250" s="1429" t="s">
        <v>16</v>
      </c>
      <c r="X250" s="1431" t="s">
        <v>692</v>
      </c>
      <c r="Y250" s="1431" t="s">
        <v>67</v>
      </c>
      <c r="Z250" s="1431" t="s">
        <v>19</v>
      </c>
      <c r="AA250" s="1433" t="s">
        <v>6</v>
      </c>
      <c r="AB250" s="1433" t="s">
        <v>7</v>
      </c>
      <c r="AC250" s="1433" t="s">
        <v>20</v>
      </c>
      <c r="AD250" s="1433" t="s">
        <v>9</v>
      </c>
      <c r="AE250" s="1433" t="s">
        <v>691</v>
      </c>
      <c r="AF250" s="1433" t="s">
        <v>10</v>
      </c>
      <c r="AG250" s="1435" t="s">
        <v>11</v>
      </c>
      <c r="AH250" s="1435" t="s">
        <v>14</v>
      </c>
      <c r="AI250" s="1435" t="s">
        <v>15</v>
      </c>
      <c r="AJ250" s="1435" t="s">
        <v>54</v>
      </c>
      <c r="AK250" s="1435" t="s">
        <v>16</v>
      </c>
      <c r="AL250" s="1435" t="s">
        <v>692</v>
      </c>
      <c r="AM250" s="1435" t="s">
        <v>67</v>
      </c>
      <c r="AN250" s="1435" t="s">
        <v>19</v>
      </c>
      <c r="AO250" s="1378" t="s">
        <v>69</v>
      </c>
      <c r="AP250" s="1379"/>
      <c r="AQ250" s="1380"/>
      <c r="AR250" s="1381" t="s">
        <v>693</v>
      </c>
      <c r="AS250" s="1373" t="s">
        <v>690</v>
      </c>
    </row>
    <row r="251" spans="1:45" ht="135.75" customHeight="1" thickBot="1" x14ac:dyDescent="0.3">
      <c r="K251" s="1389"/>
      <c r="L251" s="1392"/>
      <c r="M251" s="1430"/>
      <c r="N251" s="1430"/>
      <c r="O251" s="1430"/>
      <c r="P251" s="1430"/>
      <c r="Q251" s="1430"/>
      <c r="R251" s="1430"/>
      <c r="S251" s="1430"/>
      <c r="T251" s="1430"/>
      <c r="U251" s="1430"/>
      <c r="V251" s="1430"/>
      <c r="W251" s="1430"/>
      <c r="X251" s="1432"/>
      <c r="Y251" s="1432"/>
      <c r="Z251" s="1432"/>
      <c r="AA251" s="1434"/>
      <c r="AB251" s="1434"/>
      <c r="AC251" s="1434"/>
      <c r="AD251" s="1434"/>
      <c r="AE251" s="1434"/>
      <c r="AF251" s="1434"/>
      <c r="AG251" s="1436"/>
      <c r="AH251" s="1436"/>
      <c r="AI251" s="1436"/>
      <c r="AJ251" s="1436"/>
      <c r="AK251" s="1436"/>
      <c r="AL251" s="1436"/>
      <c r="AM251" s="1436"/>
      <c r="AN251" s="1436"/>
      <c r="AO251" s="630" t="s">
        <v>72</v>
      </c>
      <c r="AP251" s="630" t="s">
        <v>68</v>
      </c>
      <c r="AQ251" s="630" t="s">
        <v>71</v>
      </c>
      <c r="AR251" s="1382"/>
      <c r="AS251" s="1374"/>
    </row>
    <row r="252" spans="1:45" ht="15.75" thickBot="1" x14ac:dyDescent="0.3">
      <c r="K252" s="631">
        <v>1</v>
      </c>
      <c r="L252" s="639" t="s">
        <v>457</v>
      </c>
      <c r="M252" s="775"/>
      <c r="N252" s="775"/>
      <c r="O252" s="775"/>
      <c r="P252" s="775"/>
      <c r="Q252" s="775"/>
      <c r="R252" s="775"/>
      <c r="S252" s="775"/>
      <c r="T252" s="775"/>
      <c r="U252" s="775"/>
      <c r="V252" s="775"/>
      <c r="W252" s="775"/>
      <c r="X252" s="776"/>
      <c r="Y252" s="777"/>
      <c r="Z252" s="778"/>
      <c r="AA252" s="783">
        <v>20</v>
      </c>
      <c r="AB252" s="784"/>
      <c r="AC252" s="784"/>
      <c r="AD252" s="784"/>
      <c r="AE252" s="784"/>
      <c r="AF252" s="784"/>
      <c r="AG252" s="784"/>
      <c r="AH252" s="784"/>
      <c r="AI252" s="784"/>
      <c r="AJ252" s="784"/>
      <c r="AK252" s="784"/>
      <c r="AL252" s="785">
        <v>20</v>
      </c>
      <c r="AM252" s="786">
        <v>55</v>
      </c>
      <c r="AN252" s="783">
        <v>3</v>
      </c>
      <c r="AO252" s="638">
        <v>20</v>
      </c>
      <c r="AP252" s="638">
        <v>55</v>
      </c>
      <c r="AQ252" s="638">
        <v>75</v>
      </c>
      <c r="AR252" s="638">
        <v>3</v>
      </c>
      <c r="AS252" s="634" t="s">
        <v>56</v>
      </c>
    </row>
    <row r="253" spans="1:45" ht="15.75" thickBot="1" x14ac:dyDescent="0.3">
      <c r="K253" s="631">
        <v>2</v>
      </c>
      <c r="L253" s="632" t="s">
        <v>668</v>
      </c>
      <c r="M253" s="775"/>
      <c r="N253" s="775"/>
      <c r="O253" s="775"/>
      <c r="P253" s="775"/>
      <c r="Q253" s="775"/>
      <c r="R253" s="775"/>
      <c r="S253" s="775"/>
      <c r="T253" s="775">
        <v>30</v>
      </c>
      <c r="U253" s="775"/>
      <c r="V253" s="775"/>
      <c r="W253" s="775"/>
      <c r="X253" s="779">
        <v>30</v>
      </c>
      <c r="Y253" s="777">
        <v>20</v>
      </c>
      <c r="Z253" s="780">
        <v>2</v>
      </c>
      <c r="AA253" s="783"/>
      <c r="AB253" s="784"/>
      <c r="AC253" s="784"/>
      <c r="AD253" s="784"/>
      <c r="AE253" s="784"/>
      <c r="AF253" s="784"/>
      <c r="AG253" s="784"/>
      <c r="AH253" s="784">
        <v>30</v>
      </c>
      <c r="AI253" s="784"/>
      <c r="AJ253" s="784"/>
      <c r="AK253" s="784"/>
      <c r="AL253" s="785">
        <v>30</v>
      </c>
      <c r="AM253" s="786">
        <v>45</v>
      </c>
      <c r="AN253" s="783">
        <v>3</v>
      </c>
      <c r="AO253" s="638">
        <v>60</v>
      </c>
      <c r="AP253" s="638">
        <v>65</v>
      </c>
      <c r="AQ253" s="638">
        <v>125</v>
      </c>
      <c r="AR253" s="638">
        <v>5</v>
      </c>
      <c r="AS253" s="634" t="s">
        <v>56</v>
      </c>
    </row>
    <row r="254" spans="1:45" ht="15.75" thickBot="1" x14ac:dyDescent="0.3">
      <c r="K254" s="631">
        <v>3</v>
      </c>
      <c r="L254" s="639" t="s">
        <v>447</v>
      </c>
      <c r="M254" s="779">
        <v>30</v>
      </c>
      <c r="N254" s="775"/>
      <c r="O254" s="775"/>
      <c r="P254" s="779">
        <v>30</v>
      </c>
      <c r="Q254" s="775"/>
      <c r="R254" s="775"/>
      <c r="S254" s="775"/>
      <c r="T254" s="775"/>
      <c r="U254" s="775"/>
      <c r="V254" s="775"/>
      <c r="W254" s="775"/>
      <c r="X254" s="779">
        <v>60</v>
      </c>
      <c r="Y254" s="781">
        <v>40</v>
      </c>
      <c r="Z254" s="780">
        <v>4</v>
      </c>
      <c r="AA254" s="787"/>
      <c r="AB254" s="784"/>
      <c r="AC254" s="784"/>
      <c r="AD254" s="784"/>
      <c r="AE254" s="784"/>
      <c r="AF254" s="784"/>
      <c r="AG254" s="784"/>
      <c r="AH254" s="784"/>
      <c r="AI254" s="784"/>
      <c r="AJ254" s="784"/>
      <c r="AK254" s="784"/>
      <c r="AL254" s="788"/>
      <c r="AM254" s="789"/>
      <c r="AN254" s="787"/>
      <c r="AO254" s="638">
        <v>60</v>
      </c>
      <c r="AP254" s="638">
        <v>40</v>
      </c>
      <c r="AQ254" s="638">
        <v>100</v>
      </c>
      <c r="AR254" s="638">
        <v>4</v>
      </c>
      <c r="AS254" s="634" t="s">
        <v>56</v>
      </c>
    </row>
    <row r="255" spans="1:45" ht="15.75" thickBot="1" x14ac:dyDescent="0.3">
      <c r="K255" s="631">
        <v>4</v>
      </c>
      <c r="L255" s="639" t="s">
        <v>453</v>
      </c>
      <c r="M255" s="775"/>
      <c r="N255" s="775"/>
      <c r="O255" s="775"/>
      <c r="P255" s="775"/>
      <c r="Q255" s="775"/>
      <c r="R255" s="775"/>
      <c r="S255" s="775"/>
      <c r="T255" s="775"/>
      <c r="U255" s="775"/>
      <c r="V255" s="775"/>
      <c r="W255" s="775"/>
      <c r="X255" s="776"/>
      <c r="Y255" s="777"/>
      <c r="Z255" s="778"/>
      <c r="AA255" s="790">
        <v>5</v>
      </c>
      <c r="AB255" s="791"/>
      <c r="AC255" s="792">
        <v>5</v>
      </c>
      <c r="AD255" s="791"/>
      <c r="AE255" s="791"/>
      <c r="AF255" s="791"/>
      <c r="AG255" s="791"/>
      <c r="AH255" s="791"/>
      <c r="AI255" s="792">
        <v>5</v>
      </c>
      <c r="AJ255" s="791"/>
      <c r="AK255" s="791"/>
      <c r="AL255" s="785">
        <v>15</v>
      </c>
      <c r="AM255" s="793">
        <v>10</v>
      </c>
      <c r="AN255" s="790">
        <v>1</v>
      </c>
      <c r="AO255" s="638">
        <v>15</v>
      </c>
      <c r="AP255" s="638">
        <v>10</v>
      </c>
      <c r="AQ255" s="638">
        <v>25</v>
      </c>
      <c r="AR255" s="638">
        <v>1</v>
      </c>
      <c r="AS255" s="634" t="s">
        <v>99</v>
      </c>
    </row>
    <row r="256" spans="1:45" ht="15.75" thickBot="1" x14ac:dyDescent="0.3">
      <c r="K256" s="631">
        <v>5</v>
      </c>
      <c r="L256" s="639" t="s">
        <v>448</v>
      </c>
      <c r="M256" s="779">
        <v>15</v>
      </c>
      <c r="N256" s="775"/>
      <c r="O256" s="779">
        <v>30</v>
      </c>
      <c r="P256" s="775"/>
      <c r="Q256" s="775"/>
      <c r="R256" s="775"/>
      <c r="S256" s="775"/>
      <c r="T256" s="775"/>
      <c r="U256" s="775"/>
      <c r="V256" s="775"/>
      <c r="W256" s="775"/>
      <c r="X256" s="779">
        <v>45</v>
      </c>
      <c r="Y256" s="781">
        <v>30</v>
      </c>
      <c r="Z256" s="780">
        <v>3</v>
      </c>
      <c r="AA256" s="794"/>
      <c r="AB256" s="795"/>
      <c r="AC256" s="795"/>
      <c r="AD256" s="795"/>
      <c r="AE256" s="795"/>
      <c r="AF256" s="795"/>
      <c r="AG256" s="795"/>
      <c r="AH256" s="795"/>
      <c r="AI256" s="795"/>
      <c r="AJ256" s="795"/>
      <c r="AK256" s="795"/>
      <c r="AL256" s="788"/>
      <c r="AM256" s="796"/>
      <c r="AN256" s="794"/>
      <c r="AO256" s="638">
        <v>45</v>
      </c>
      <c r="AP256" s="638">
        <v>30</v>
      </c>
      <c r="AQ256" s="638">
        <v>75</v>
      </c>
      <c r="AR256" s="638">
        <v>3</v>
      </c>
      <c r="AS256" s="634" t="s">
        <v>99</v>
      </c>
    </row>
    <row r="257" spans="1:45" ht="24.75" thickBot="1" x14ac:dyDescent="0.3">
      <c r="K257" s="631">
        <v>6</v>
      </c>
      <c r="L257" s="656" t="s">
        <v>678</v>
      </c>
      <c r="M257" s="779"/>
      <c r="N257" s="775"/>
      <c r="O257" s="779"/>
      <c r="P257" s="775"/>
      <c r="Q257" s="775"/>
      <c r="R257" s="775"/>
      <c r="S257" s="775"/>
      <c r="T257" s="775"/>
      <c r="U257" s="775"/>
      <c r="V257" s="775"/>
      <c r="W257" s="775">
        <v>160</v>
      </c>
      <c r="X257" s="779">
        <v>160</v>
      </c>
      <c r="Y257" s="779"/>
      <c r="Z257" s="779">
        <v>6</v>
      </c>
      <c r="AA257" s="784"/>
      <c r="AB257" s="784"/>
      <c r="AC257" s="784"/>
      <c r="AD257" s="784"/>
      <c r="AE257" s="784"/>
      <c r="AF257" s="784"/>
      <c r="AG257" s="784"/>
      <c r="AH257" s="784"/>
      <c r="AI257" s="784"/>
      <c r="AJ257" s="784"/>
      <c r="AK257" s="784"/>
      <c r="AL257" s="785"/>
      <c r="AM257" s="784"/>
      <c r="AN257" s="784"/>
      <c r="AO257" s="638">
        <v>160</v>
      </c>
      <c r="AP257" s="638">
        <v>0</v>
      </c>
      <c r="AQ257" s="638">
        <v>160</v>
      </c>
      <c r="AR257" s="638">
        <v>6</v>
      </c>
      <c r="AS257" s="634" t="s">
        <v>99</v>
      </c>
    </row>
    <row r="258" spans="1:45" ht="24.75" thickBot="1" x14ac:dyDescent="0.3">
      <c r="K258" s="631">
        <v>7</v>
      </c>
      <c r="L258" s="656" t="s">
        <v>679</v>
      </c>
      <c r="M258" s="779"/>
      <c r="N258" s="775"/>
      <c r="O258" s="779"/>
      <c r="P258" s="775"/>
      <c r="Q258" s="775"/>
      <c r="R258" s="775"/>
      <c r="S258" s="775"/>
      <c r="T258" s="775"/>
      <c r="U258" s="775"/>
      <c r="V258" s="775"/>
      <c r="W258" s="775"/>
      <c r="X258" s="779"/>
      <c r="Y258" s="779"/>
      <c r="Z258" s="779"/>
      <c r="AA258" s="784"/>
      <c r="AB258" s="784"/>
      <c r="AC258" s="784"/>
      <c r="AD258" s="784"/>
      <c r="AE258" s="784"/>
      <c r="AF258" s="784"/>
      <c r="AG258" s="784"/>
      <c r="AH258" s="784"/>
      <c r="AI258" s="784"/>
      <c r="AJ258" s="784"/>
      <c r="AK258" s="784">
        <v>160</v>
      </c>
      <c r="AL258" s="785">
        <v>160</v>
      </c>
      <c r="AM258" s="784"/>
      <c r="AN258" s="784">
        <v>6</v>
      </c>
      <c r="AO258" s="638">
        <v>160</v>
      </c>
      <c r="AP258" s="638">
        <v>0</v>
      </c>
      <c r="AQ258" s="638">
        <v>160</v>
      </c>
      <c r="AR258" s="638">
        <v>6</v>
      </c>
      <c r="AS258" s="634" t="s">
        <v>99</v>
      </c>
    </row>
    <row r="259" spans="1:45" ht="24.75" thickBot="1" x14ac:dyDescent="0.3">
      <c r="K259" s="631">
        <v>8</v>
      </c>
      <c r="L259" s="742" t="s">
        <v>706</v>
      </c>
      <c r="M259" s="782"/>
      <c r="N259" s="775"/>
      <c r="O259" s="779">
        <v>40</v>
      </c>
      <c r="P259" s="775"/>
      <c r="Q259" s="775"/>
      <c r="R259" s="775"/>
      <c r="S259" s="775"/>
      <c r="T259" s="775"/>
      <c r="U259" s="775"/>
      <c r="V259" s="775"/>
      <c r="W259" s="775"/>
      <c r="X259" s="779">
        <v>40</v>
      </c>
      <c r="Y259" s="779">
        <v>10</v>
      </c>
      <c r="Z259" s="779">
        <v>2</v>
      </c>
      <c r="AA259" s="784"/>
      <c r="AB259" s="784"/>
      <c r="AC259" s="784"/>
      <c r="AD259" s="784"/>
      <c r="AE259" s="784"/>
      <c r="AF259" s="784"/>
      <c r="AG259" s="784"/>
      <c r="AH259" s="784"/>
      <c r="AI259" s="784"/>
      <c r="AJ259" s="784"/>
      <c r="AK259" s="784"/>
      <c r="AL259" s="785"/>
      <c r="AM259" s="784"/>
      <c r="AN259" s="784"/>
      <c r="AO259" s="638">
        <v>40</v>
      </c>
      <c r="AP259" s="638">
        <v>10</v>
      </c>
      <c r="AQ259" s="638">
        <v>50</v>
      </c>
      <c r="AR259" s="638">
        <v>2</v>
      </c>
      <c r="AS259" s="634" t="s">
        <v>99</v>
      </c>
    </row>
    <row r="260" spans="1:45" ht="24.75" thickBot="1" x14ac:dyDescent="0.3">
      <c r="K260" s="631">
        <v>9</v>
      </c>
      <c r="L260" s="632" t="s">
        <v>705</v>
      </c>
      <c r="M260" s="779"/>
      <c r="N260" s="775"/>
      <c r="O260" s="775"/>
      <c r="P260" s="779"/>
      <c r="Q260" s="775"/>
      <c r="R260" s="775"/>
      <c r="S260" s="775"/>
      <c r="T260" s="775"/>
      <c r="U260" s="775"/>
      <c r="V260" s="775"/>
      <c r="W260" s="775"/>
      <c r="X260" s="779"/>
      <c r="Y260" s="781"/>
      <c r="Z260" s="780"/>
      <c r="AA260" s="783">
        <v>10</v>
      </c>
      <c r="AB260" s="784"/>
      <c r="AC260" s="784">
        <v>30</v>
      </c>
      <c r="AD260" s="785"/>
      <c r="AE260" s="784"/>
      <c r="AF260" s="784"/>
      <c r="AG260" s="784"/>
      <c r="AH260" s="784"/>
      <c r="AI260" s="784"/>
      <c r="AJ260" s="784"/>
      <c r="AK260" s="784"/>
      <c r="AL260" s="785">
        <v>40</v>
      </c>
      <c r="AM260" s="786">
        <v>10</v>
      </c>
      <c r="AN260" s="783">
        <v>2</v>
      </c>
      <c r="AO260" s="638">
        <v>40</v>
      </c>
      <c r="AP260" s="638">
        <v>10</v>
      </c>
      <c r="AQ260" s="638">
        <v>50</v>
      </c>
      <c r="AR260" s="638">
        <v>2</v>
      </c>
      <c r="AS260" s="634" t="s">
        <v>99</v>
      </c>
    </row>
    <row r="261" spans="1:45" ht="15.75" thickBot="1" x14ac:dyDescent="0.3">
      <c r="K261" s="631">
        <v>10</v>
      </c>
      <c r="L261" s="632" t="s">
        <v>695</v>
      </c>
      <c r="M261" s="779">
        <v>30</v>
      </c>
      <c r="N261" s="775"/>
      <c r="O261" s="775"/>
      <c r="P261" s="779">
        <v>30</v>
      </c>
      <c r="Q261" s="775"/>
      <c r="R261" s="775"/>
      <c r="S261" s="775"/>
      <c r="T261" s="775"/>
      <c r="U261" s="775"/>
      <c r="V261" s="775"/>
      <c r="W261" s="775"/>
      <c r="X261" s="779">
        <v>60</v>
      </c>
      <c r="Y261" s="781">
        <v>15</v>
      </c>
      <c r="Z261" s="780">
        <v>3</v>
      </c>
      <c r="AA261" s="783">
        <v>30</v>
      </c>
      <c r="AB261" s="784"/>
      <c r="AC261" s="784"/>
      <c r="AD261" s="785">
        <v>30</v>
      </c>
      <c r="AE261" s="784"/>
      <c r="AF261" s="784"/>
      <c r="AG261" s="784"/>
      <c r="AH261" s="784"/>
      <c r="AI261" s="784"/>
      <c r="AJ261" s="784"/>
      <c r="AK261" s="784"/>
      <c r="AL261" s="785">
        <v>60</v>
      </c>
      <c r="AM261" s="786">
        <v>15</v>
      </c>
      <c r="AN261" s="783">
        <v>3</v>
      </c>
      <c r="AO261" s="638">
        <v>120</v>
      </c>
      <c r="AP261" s="638">
        <v>30</v>
      </c>
      <c r="AQ261" s="638">
        <v>150</v>
      </c>
      <c r="AR261" s="638">
        <v>6</v>
      </c>
      <c r="AS261" s="634" t="s">
        <v>56</v>
      </c>
    </row>
    <row r="262" spans="1:45" ht="15.75" thickBot="1" x14ac:dyDescent="0.3">
      <c r="K262" s="631">
        <v>11</v>
      </c>
      <c r="L262" s="639" t="s">
        <v>456</v>
      </c>
      <c r="M262" s="775"/>
      <c r="N262" s="775"/>
      <c r="O262" s="775"/>
      <c r="P262" s="775"/>
      <c r="Q262" s="775"/>
      <c r="R262" s="775"/>
      <c r="S262" s="775"/>
      <c r="T262" s="775"/>
      <c r="U262" s="775"/>
      <c r="V262" s="775"/>
      <c r="W262" s="775"/>
      <c r="X262" s="776"/>
      <c r="Y262" s="777"/>
      <c r="Z262" s="778"/>
      <c r="AA262" s="783">
        <v>30</v>
      </c>
      <c r="AB262" s="784"/>
      <c r="AC262" s="784"/>
      <c r="AD262" s="785">
        <v>40</v>
      </c>
      <c r="AE262" s="784"/>
      <c r="AF262" s="784"/>
      <c r="AG262" s="784"/>
      <c r="AH262" s="784"/>
      <c r="AI262" s="784"/>
      <c r="AJ262" s="784"/>
      <c r="AK262" s="784"/>
      <c r="AL262" s="785">
        <v>70</v>
      </c>
      <c r="AM262" s="786">
        <v>55</v>
      </c>
      <c r="AN262" s="783">
        <v>5</v>
      </c>
      <c r="AO262" s="638">
        <v>70</v>
      </c>
      <c r="AP262" s="638">
        <v>55</v>
      </c>
      <c r="AQ262" s="638">
        <v>125</v>
      </c>
      <c r="AR262" s="638">
        <v>5</v>
      </c>
      <c r="AS262" s="634" t="s">
        <v>56</v>
      </c>
    </row>
    <row r="263" spans="1:45" ht="15.75" thickBot="1" x14ac:dyDescent="0.3">
      <c r="K263" s="631">
        <v>12</v>
      </c>
      <c r="L263" s="639" t="s">
        <v>446</v>
      </c>
      <c r="M263" s="779">
        <v>30</v>
      </c>
      <c r="N263" s="775"/>
      <c r="O263" s="775"/>
      <c r="P263" s="779">
        <v>30</v>
      </c>
      <c r="Q263" s="775"/>
      <c r="R263" s="775"/>
      <c r="S263" s="775"/>
      <c r="T263" s="775"/>
      <c r="U263" s="775"/>
      <c r="V263" s="775"/>
      <c r="W263" s="775"/>
      <c r="X263" s="779">
        <v>60</v>
      </c>
      <c r="Y263" s="781">
        <v>40</v>
      </c>
      <c r="Z263" s="780">
        <v>4</v>
      </c>
      <c r="AA263" s="787"/>
      <c r="AB263" s="784"/>
      <c r="AC263" s="784"/>
      <c r="AD263" s="784"/>
      <c r="AE263" s="784"/>
      <c r="AF263" s="784"/>
      <c r="AG263" s="784"/>
      <c r="AH263" s="784"/>
      <c r="AI263" s="784"/>
      <c r="AJ263" s="784"/>
      <c r="AK263" s="784"/>
      <c r="AL263" s="788"/>
      <c r="AM263" s="789"/>
      <c r="AN263" s="787"/>
      <c r="AO263" s="638">
        <v>60</v>
      </c>
      <c r="AP263" s="638">
        <v>40</v>
      </c>
      <c r="AQ263" s="638">
        <v>100</v>
      </c>
      <c r="AR263" s="638">
        <v>4</v>
      </c>
      <c r="AS263" s="634" t="s">
        <v>56</v>
      </c>
    </row>
    <row r="264" spans="1:45" ht="15.75" thickBot="1" x14ac:dyDescent="0.3">
      <c r="K264" s="631">
        <v>13</v>
      </c>
      <c r="L264" s="632" t="s">
        <v>461</v>
      </c>
      <c r="M264" s="779"/>
      <c r="N264" s="775"/>
      <c r="O264" s="775"/>
      <c r="P264" s="779"/>
      <c r="Q264" s="775"/>
      <c r="R264" s="775"/>
      <c r="S264" s="775"/>
      <c r="T264" s="775"/>
      <c r="U264" s="775"/>
      <c r="V264" s="775"/>
      <c r="W264" s="775"/>
      <c r="X264" s="779"/>
      <c r="Y264" s="779"/>
      <c r="Z264" s="779"/>
      <c r="AA264" s="784">
        <v>30</v>
      </c>
      <c r="AB264" s="784"/>
      <c r="AC264" s="784"/>
      <c r="AD264" s="784">
        <v>40</v>
      </c>
      <c r="AE264" s="784"/>
      <c r="AF264" s="784"/>
      <c r="AG264" s="784"/>
      <c r="AH264" s="784"/>
      <c r="AI264" s="784"/>
      <c r="AJ264" s="784"/>
      <c r="AK264" s="784"/>
      <c r="AL264" s="785">
        <v>70</v>
      </c>
      <c r="AM264" s="784">
        <v>55</v>
      </c>
      <c r="AN264" s="784">
        <v>5</v>
      </c>
      <c r="AO264" s="638">
        <v>70</v>
      </c>
      <c r="AP264" s="638">
        <v>55</v>
      </c>
      <c r="AQ264" s="638">
        <v>125</v>
      </c>
      <c r="AR264" s="638">
        <v>5</v>
      </c>
      <c r="AS264" s="634" t="s">
        <v>56</v>
      </c>
    </row>
    <row r="265" spans="1:45" ht="15.75" thickBot="1" x14ac:dyDescent="0.3">
      <c r="K265" s="631">
        <v>14</v>
      </c>
      <c r="L265" s="639" t="s">
        <v>696</v>
      </c>
      <c r="M265" s="779">
        <v>25</v>
      </c>
      <c r="N265" s="775"/>
      <c r="O265" s="775"/>
      <c r="P265" s="779">
        <v>25</v>
      </c>
      <c r="Q265" s="775"/>
      <c r="R265" s="775"/>
      <c r="S265" s="775"/>
      <c r="T265" s="775"/>
      <c r="U265" s="775"/>
      <c r="V265" s="775"/>
      <c r="W265" s="775"/>
      <c r="X265" s="779">
        <v>50</v>
      </c>
      <c r="Y265" s="777"/>
      <c r="Z265" s="780">
        <v>2</v>
      </c>
      <c r="AA265" s="783">
        <v>25</v>
      </c>
      <c r="AB265" s="784"/>
      <c r="AC265" s="784"/>
      <c r="AD265" s="785">
        <v>25</v>
      </c>
      <c r="AE265" s="784"/>
      <c r="AF265" s="784"/>
      <c r="AG265" s="784"/>
      <c r="AH265" s="784"/>
      <c r="AI265" s="784"/>
      <c r="AJ265" s="784"/>
      <c r="AK265" s="784"/>
      <c r="AL265" s="785">
        <v>50</v>
      </c>
      <c r="AM265" s="786">
        <v>25</v>
      </c>
      <c r="AN265" s="783">
        <v>3</v>
      </c>
      <c r="AO265" s="638">
        <v>100</v>
      </c>
      <c r="AP265" s="638">
        <v>25</v>
      </c>
      <c r="AQ265" s="638">
        <v>125</v>
      </c>
      <c r="AR265" s="638">
        <v>5</v>
      </c>
      <c r="AS265" s="634" t="s">
        <v>56</v>
      </c>
    </row>
    <row r="266" spans="1:45" ht="15.75" thickBot="1" x14ac:dyDescent="0.3">
      <c r="K266" s="631">
        <v>15</v>
      </c>
      <c r="L266" s="632" t="s">
        <v>449</v>
      </c>
      <c r="M266" s="779">
        <v>30</v>
      </c>
      <c r="N266" s="779">
        <v>20</v>
      </c>
      <c r="O266" s="775"/>
      <c r="P266" s="775"/>
      <c r="Q266" s="775"/>
      <c r="R266" s="775"/>
      <c r="S266" s="775"/>
      <c r="T266" s="775"/>
      <c r="U266" s="775"/>
      <c r="V266" s="775"/>
      <c r="W266" s="775"/>
      <c r="X266" s="779">
        <v>50</v>
      </c>
      <c r="Y266" s="781">
        <v>25</v>
      </c>
      <c r="Z266" s="780">
        <v>3</v>
      </c>
      <c r="AA266" s="787"/>
      <c r="AB266" s="784"/>
      <c r="AC266" s="784"/>
      <c r="AD266" s="784"/>
      <c r="AE266" s="784"/>
      <c r="AF266" s="784"/>
      <c r="AG266" s="784"/>
      <c r="AH266" s="784"/>
      <c r="AI266" s="784"/>
      <c r="AJ266" s="784"/>
      <c r="AK266" s="784"/>
      <c r="AL266" s="788"/>
      <c r="AM266" s="789"/>
      <c r="AN266" s="787"/>
      <c r="AO266" s="638">
        <v>50</v>
      </c>
      <c r="AP266" s="638">
        <v>25</v>
      </c>
      <c r="AQ266" s="638">
        <v>75</v>
      </c>
      <c r="AR266" s="638">
        <v>3</v>
      </c>
      <c r="AS266" s="634" t="s">
        <v>56</v>
      </c>
    </row>
    <row r="267" spans="1:45" s="22" customFormat="1" ht="15.75" thickBot="1" x14ac:dyDescent="0.3">
      <c r="A267" s="760"/>
      <c r="K267" s="1437" t="s">
        <v>21</v>
      </c>
      <c r="L267" s="1438"/>
      <c r="M267" s="761">
        <v>170</v>
      </c>
      <c r="N267" s="761">
        <v>20</v>
      </c>
      <c r="O267" s="761">
        <v>100</v>
      </c>
      <c r="P267" s="761">
        <v>115</v>
      </c>
      <c r="Q267" s="761">
        <v>0</v>
      </c>
      <c r="R267" s="761">
        <v>0</v>
      </c>
      <c r="S267" s="761">
        <v>0</v>
      </c>
      <c r="T267" s="761">
        <v>30</v>
      </c>
      <c r="U267" s="761">
        <v>0</v>
      </c>
      <c r="V267" s="761">
        <v>0</v>
      </c>
      <c r="W267" s="761">
        <v>160</v>
      </c>
      <c r="X267" s="761">
        <v>595</v>
      </c>
      <c r="Y267" s="761">
        <v>170</v>
      </c>
      <c r="Z267" s="761">
        <v>32</v>
      </c>
      <c r="AA267" s="761">
        <v>150</v>
      </c>
      <c r="AB267" s="761">
        <v>0</v>
      </c>
      <c r="AC267" s="761">
        <v>35</v>
      </c>
      <c r="AD267" s="761">
        <v>135</v>
      </c>
      <c r="AE267" s="761">
        <v>0</v>
      </c>
      <c r="AF267" s="761">
        <v>0</v>
      </c>
      <c r="AG267" s="761">
        <v>0</v>
      </c>
      <c r="AH267" s="761">
        <v>30</v>
      </c>
      <c r="AI267" s="761">
        <v>5</v>
      </c>
      <c r="AJ267" s="761">
        <v>0</v>
      </c>
      <c r="AK267" s="761">
        <v>160</v>
      </c>
      <c r="AL267" s="761">
        <v>515</v>
      </c>
      <c r="AM267" s="761">
        <v>240</v>
      </c>
      <c r="AN267" s="761">
        <v>28</v>
      </c>
      <c r="AO267" s="761">
        <v>1110</v>
      </c>
      <c r="AP267" s="761">
        <v>410</v>
      </c>
      <c r="AQ267" s="761">
        <v>1520</v>
      </c>
      <c r="AR267" s="761">
        <v>60</v>
      </c>
      <c r="AS267" s="762"/>
    </row>
    <row r="268" spans="1:45" s="432" customFormat="1" x14ac:dyDescent="0.25">
      <c r="A268" s="746"/>
      <c r="M268" s="432">
        <f>SUM(M252:M266)</f>
        <v>160</v>
      </c>
      <c r="N268" s="432">
        <f t="shared" ref="N268:AS268" si="11">SUM(N252:N266)</f>
        <v>20</v>
      </c>
      <c r="O268" s="432">
        <f t="shared" si="11"/>
        <v>70</v>
      </c>
      <c r="P268" s="432">
        <f t="shared" si="11"/>
        <v>115</v>
      </c>
      <c r="Q268" s="432">
        <f t="shared" si="11"/>
        <v>0</v>
      </c>
      <c r="R268" s="432">
        <f t="shared" si="11"/>
        <v>0</v>
      </c>
      <c r="S268" s="432">
        <f t="shared" si="11"/>
        <v>0</v>
      </c>
      <c r="T268" s="432">
        <f t="shared" si="11"/>
        <v>30</v>
      </c>
      <c r="U268" s="432">
        <f t="shared" si="11"/>
        <v>0</v>
      </c>
      <c r="V268" s="432">
        <f t="shared" si="11"/>
        <v>0</v>
      </c>
      <c r="W268" s="432">
        <f t="shared" si="11"/>
        <v>160</v>
      </c>
      <c r="X268" s="432">
        <f t="shared" si="11"/>
        <v>555</v>
      </c>
      <c r="Y268" s="432">
        <f t="shared" si="11"/>
        <v>180</v>
      </c>
      <c r="Z268" s="432">
        <f t="shared" si="11"/>
        <v>29</v>
      </c>
      <c r="AA268" s="432">
        <f t="shared" si="11"/>
        <v>150</v>
      </c>
      <c r="AB268" s="432">
        <f t="shared" si="11"/>
        <v>0</v>
      </c>
      <c r="AC268" s="432">
        <f t="shared" si="11"/>
        <v>35</v>
      </c>
      <c r="AD268" s="432">
        <f t="shared" si="11"/>
        <v>135</v>
      </c>
      <c r="AE268" s="432">
        <f t="shared" si="11"/>
        <v>0</v>
      </c>
      <c r="AF268" s="432">
        <f t="shared" si="11"/>
        <v>0</v>
      </c>
      <c r="AG268" s="432">
        <f t="shared" si="11"/>
        <v>0</v>
      </c>
      <c r="AH268" s="432">
        <f t="shared" si="11"/>
        <v>30</v>
      </c>
      <c r="AI268" s="432">
        <f t="shared" si="11"/>
        <v>5</v>
      </c>
      <c r="AJ268" s="432">
        <f t="shared" si="11"/>
        <v>0</v>
      </c>
      <c r="AK268" s="432">
        <f t="shared" si="11"/>
        <v>160</v>
      </c>
      <c r="AL268" s="432">
        <f t="shared" si="11"/>
        <v>515</v>
      </c>
      <c r="AM268" s="432">
        <f t="shared" si="11"/>
        <v>270</v>
      </c>
      <c r="AN268" s="432">
        <f t="shared" si="11"/>
        <v>31</v>
      </c>
      <c r="AO268" s="432">
        <f t="shared" si="11"/>
        <v>1070</v>
      </c>
      <c r="AP268" s="432">
        <f t="shared" si="11"/>
        <v>450</v>
      </c>
      <c r="AQ268" s="432">
        <f t="shared" si="11"/>
        <v>1520</v>
      </c>
      <c r="AR268" s="432">
        <f t="shared" si="11"/>
        <v>60</v>
      </c>
      <c r="AS268" s="432">
        <f t="shared" si="11"/>
        <v>0</v>
      </c>
    </row>
    <row r="272" spans="1:45" ht="15.75" thickBot="1" x14ac:dyDescent="0.3"/>
    <row r="273" spans="11:45" ht="15.75" customHeight="1" thickBot="1" x14ac:dyDescent="0.3">
      <c r="K273" s="1375" t="s">
        <v>638</v>
      </c>
      <c r="L273" s="1390" t="s">
        <v>2</v>
      </c>
      <c r="M273" s="1376" t="s">
        <v>688</v>
      </c>
      <c r="N273" s="1393"/>
      <c r="O273" s="1393"/>
      <c r="P273" s="1393"/>
      <c r="Q273" s="1393"/>
      <c r="R273" s="1393"/>
      <c r="S273" s="1393"/>
      <c r="T273" s="1393"/>
      <c r="U273" s="1393"/>
      <c r="V273" s="1393"/>
      <c r="W273" s="1393"/>
      <c r="X273" s="1393"/>
      <c r="Y273" s="1393"/>
      <c r="Z273" s="1377"/>
      <c r="AA273" s="1394" t="s">
        <v>689</v>
      </c>
      <c r="AB273" s="1395"/>
      <c r="AC273" s="1395"/>
      <c r="AD273" s="1395"/>
      <c r="AE273" s="1395"/>
      <c r="AF273" s="1395"/>
      <c r="AG273" s="1395"/>
      <c r="AH273" s="1395"/>
      <c r="AI273" s="1395"/>
      <c r="AJ273" s="1395"/>
      <c r="AK273" s="1395"/>
      <c r="AL273" s="1395"/>
      <c r="AM273" s="1395"/>
      <c r="AN273" s="1396"/>
      <c r="AO273" s="1397" t="s">
        <v>28</v>
      </c>
      <c r="AP273" s="1393"/>
      <c r="AQ273" s="1393"/>
      <c r="AR273" s="1377"/>
      <c r="AS273" s="1409" t="s">
        <v>690</v>
      </c>
    </row>
    <row r="274" spans="11:45" ht="24" customHeight="1" thickBot="1" x14ac:dyDescent="0.3">
      <c r="K274" s="1373"/>
      <c r="L274" s="1391"/>
      <c r="M274" s="1383" t="s">
        <v>6</v>
      </c>
      <c r="N274" s="1383" t="s">
        <v>7</v>
      </c>
      <c r="O274" s="1383" t="s">
        <v>8</v>
      </c>
      <c r="P274" s="1383" t="s">
        <v>9</v>
      </c>
      <c r="Q274" s="1383" t="s">
        <v>691</v>
      </c>
      <c r="R274" s="1383" t="s">
        <v>10</v>
      </c>
      <c r="S274" s="1383" t="s">
        <v>11</v>
      </c>
      <c r="T274" s="1383" t="s">
        <v>14</v>
      </c>
      <c r="U274" s="1383" t="s">
        <v>15</v>
      </c>
      <c r="V274" s="1383" t="s">
        <v>54</v>
      </c>
      <c r="W274" s="1383" t="s">
        <v>16</v>
      </c>
      <c r="X274" s="1375" t="s">
        <v>692</v>
      </c>
      <c r="Y274" s="1375" t="s">
        <v>67</v>
      </c>
      <c r="Z274" s="1375" t="s">
        <v>19</v>
      </c>
      <c r="AA274" s="1383" t="s">
        <v>6</v>
      </c>
      <c r="AB274" s="1383" t="s">
        <v>7</v>
      </c>
      <c r="AC274" s="1383" t="s">
        <v>20</v>
      </c>
      <c r="AD274" s="1383" t="s">
        <v>9</v>
      </c>
      <c r="AE274" s="1383" t="s">
        <v>691</v>
      </c>
      <c r="AF274" s="1383" t="s">
        <v>10</v>
      </c>
      <c r="AG274" s="1375" t="s">
        <v>11</v>
      </c>
      <c r="AH274" s="1375" t="s">
        <v>14</v>
      </c>
      <c r="AI274" s="1375" t="s">
        <v>15</v>
      </c>
      <c r="AJ274" s="1375" t="s">
        <v>54</v>
      </c>
      <c r="AK274" s="1375" t="s">
        <v>16</v>
      </c>
      <c r="AL274" s="1375" t="s">
        <v>692</v>
      </c>
      <c r="AM274" s="1375" t="s">
        <v>67</v>
      </c>
      <c r="AN274" s="1375" t="s">
        <v>19</v>
      </c>
      <c r="AO274" s="1378" t="s">
        <v>69</v>
      </c>
      <c r="AP274" s="1379"/>
      <c r="AQ274" s="1380"/>
      <c r="AR274" s="1412" t="s">
        <v>693</v>
      </c>
      <c r="AS274" s="1410"/>
    </row>
    <row r="275" spans="11:45" ht="106.5" customHeight="1" thickBot="1" x14ac:dyDescent="0.3">
      <c r="K275" s="1374"/>
      <c r="L275" s="1392"/>
      <c r="M275" s="1384"/>
      <c r="N275" s="1384"/>
      <c r="O275" s="1384"/>
      <c r="P275" s="1384"/>
      <c r="Q275" s="1384"/>
      <c r="R275" s="1384"/>
      <c r="S275" s="1384"/>
      <c r="T275" s="1384"/>
      <c r="U275" s="1384"/>
      <c r="V275" s="1384"/>
      <c r="W275" s="1384"/>
      <c r="X275" s="1374"/>
      <c r="Y275" s="1374"/>
      <c r="Z275" s="1374"/>
      <c r="AA275" s="1384"/>
      <c r="AB275" s="1384"/>
      <c r="AC275" s="1384"/>
      <c r="AD275" s="1384"/>
      <c r="AE275" s="1384"/>
      <c r="AF275" s="1384"/>
      <c r="AG275" s="1374"/>
      <c r="AH275" s="1374"/>
      <c r="AI275" s="1374"/>
      <c r="AJ275" s="1374"/>
      <c r="AK275" s="1374"/>
      <c r="AL275" s="1374"/>
      <c r="AM275" s="1374"/>
      <c r="AN275" s="1374"/>
      <c r="AO275" s="630" t="s">
        <v>72</v>
      </c>
      <c r="AP275" s="630" t="s">
        <v>68</v>
      </c>
      <c r="AQ275" s="630" t="s">
        <v>71</v>
      </c>
      <c r="AR275" s="1413"/>
      <c r="AS275" s="1411"/>
    </row>
    <row r="276" spans="11:45" ht="15.75" thickBot="1" x14ac:dyDescent="0.3">
      <c r="K276" s="631">
        <v>1</v>
      </c>
      <c r="L276" s="632" t="s">
        <v>460</v>
      </c>
      <c r="M276" s="633">
        <v>20</v>
      </c>
      <c r="N276" s="634"/>
      <c r="O276" s="634"/>
      <c r="P276" s="633">
        <v>20</v>
      </c>
      <c r="Q276" s="634"/>
      <c r="R276" s="634"/>
      <c r="S276" s="634"/>
      <c r="T276" s="634"/>
      <c r="U276" s="634"/>
      <c r="V276" s="634"/>
      <c r="W276" s="634"/>
      <c r="X276" s="633">
        <v>40</v>
      </c>
      <c r="Y276" s="635">
        <v>60</v>
      </c>
      <c r="Z276" s="631">
        <v>4</v>
      </c>
      <c r="AA276" s="634"/>
      <c r="AB276" s="634"/>
      <c r="AC276" s="634"/>
      <c r="AD276" s="634"/>
      <c r="AE276" s="634"/>
      <c r="AF276" s="634"/>
      <c r="AG276" s="634"/>
      <c r="AH276" s="634"/>
      <c r="AI276" s="634"/>
      <c r="AJ276" s="634"/>
      <c r="AK276" s="634"/>
      <c r="AL276" s="648"/>
      <c r="AM276" s="636"/>
      <c r="AN276" s="637"/>
      <c r="AO276" s="638">
        <v>40</v>
      </c>
      <c r="AP276" s="638">
        <v>60</v>
      </c>
      <c r="AQ276" s="638">
        <v>100</v>
      </c>
      <c r="AR276" s="638">
        <v>4</v>
      </c>
      <c r="AS276" s="634" t="s">
        <v>56</v>
      </c>
    </row>
    <row r="277" spans="11:45" ht="15.75" thickBot="1" x14ac:dyDescent="0.3">
      <c r="K277" s="631">
        <v>2</v>
      </c>
      <c r="L277" s="639" t="s">
        <v>462</v>
      </c>
      <c r="M277" s="634">
        <v>30</v>
      </c>
      <c r="N277" s="634"/>
      <c r="O277" s="634"/>
      <c r="P277" s="634">
        <v>30</v>
      </c>
      <c r="Q277" s="634"/>
      <c r="R277" s="634"/>
      <c r="S277" s="634"/>
      <c r="T277" s="634"/>
      <c r="U277" s="634"/>
      <c r="V277" s="634"/>
      <c r="W277" s="634"/>
      <c r="X277" s="633">
        <v>60</v>
      </c>
      <c r="Y277" s="636">
        <v>15</v>
      </c>
      <c r="Z277" s="637">
        <v>3</v>
      </c>
      <c r="AA277" s="633"/>
      <c r="AB277" s="634"/>
      <c r="AC277" s="634"/>
      <c r="AD277" s="633"/>
      <c r="AE277" s="634"/>
      <c r="AF277" s="634"/>
      <c r="AG277" s="634"/>
      <c r="AH277" s="634"/>
      <c r="AI277" s="634"/>
      <c r="AJ277" s="634"/>
      <c r="AK277" s="634"/>
      <c r="AL277" s="633"/>
      <c r="AM277" s="635"/>
      <c r="AN277" s="631"/>
      <c r="AO277" s="638">
        <v>60</v>
      </c>
      <c r="AP277" s="638">
        <v>15</v>
      </c>
      <c r="AQ277" s="638">
        <v>75</v>
      </c>
      <c r="AR277" s="638">
        <v>3</v>
      </c>
      <c r="AS277" s="634" t="s">
        <v>56</v>
      </c>
    </row>
    <row r="278" spans="11:45" ht="15.75" thickBot="1" x14ac:dyDescent="0.3">
      <c r="K278" s="631">
        <v>3</v>
      </c>
      <c r="L278" s="639" t="s">
        <v>454</v>
      </c>
      <c r="M278" s="634"/>
      <c r="N278" s="634"/>
      <c r="O278" s="634"/>
      <c r="P278" s="634"/>
      <c r="Q278" s="634"/>
      <c r="R278" s="634"/>
      <c r="S278" s="634"/>
      <c r="T278" s="634"/>
      <c r="U278" s="634"/>
      <c r="V278" s="634"/>
      <c r="W278" s="634"/>
      <c r="X278" s="633"/>
      <c r="Y278" s="636"/>
      <c r="Z278" s="637"/>
      <c r="AA278" s="633">
        <v>15</v>
      </c>
      <c r="AB278" s="634"/>
      <c r="AC278" s="634"/>
      <c r="AD278" s="633">
        <v>15</v>
      </c>
      <c r="AE278" s="634"/>
      <c r="AF278" s="634"/>
      <c r="AG278" s="634"/>
      <c r="AH278" s="634"/>
      <c r="AI278" s="634"/>
      <c r="AJ278" s="634"/>
      <c r="AK278" s="634"/>
      <c r="AL278" s="633">
        <v>30</v>
      </c>
      <c r="AM278" s="635">
        <v>45</v>
      </c>
      <c r="AN278" s="631">
        <v>3</v>
      </c>
      <c r="AO278" s="638">
        <v>30</v>
      </c>
      <c r="AP278" s="638">
        <v>45</v>
      </c>
      <c r="AQ278" s="638">
        <v>75</v>
      </c>
      <c r="AR278" s="638">
        <v>3</v>
      </c>
      <c r="AS278" s="634" t="s">
        <v>99</v>
      </c>
    </row>
    <row r="279" spans="11:45" ht="24.75" thickBot="1" x14ac:dyDescent="0.3">
      <c r="K279" s="631">
        <v>4</v>
      </c>
      <c r="L279" s="640" t="s">
        <v>680</v>
      </c>
      <c r="M279" s="634"/>
      <c r="N279" s="634"/>
      <c r="O279" s="634"/>
      <c r="P279" s="634"/>
      <c r="Q279" s="634"/>
      <c r="R279" s="634"/>
      <c r="S279" s="634"/>
      <c r="T279" s="634"/>
      <c r="U279" s="634"/>
      <c r="V279" s="634"/>
      <c r="W279" s="634">
        <v>160</v>
      </c>
      <c r="X279" s="633">
        <v>160</v>
      </c>
      <c r="Y279" s="634"/>
      <c r="Z279" s="634">
        <v>6</v>
      </c>
      <c r="AA279" s="633"/>
      <c r="AB279" s="634"/>
      <c r="AC279" s="634"/>
      <c r="AD279" s="633"/>
      <c r="AE279" s="634"/>
      <c r="AF279" s="634"/>
      <c r="AG279" s="634"/>
      <c r="AH279" s="634"/>
      <c r="AI279" s="634"/>
      <c r="AJ279" s="634"/>
      <c r="AK279" s="634"/>
      <c r="AL279" s="633"/>
      <c r="AM279" s="633"/>
      <c r="AN279" s="633"/>
      <c r="AO279" s="638">
        <v>160</v>
      </c>
      <c r="AP279" s="638">
        <v>0</v>
      </c>
      <c r="AQ279" s="638">
        <v>160</v>
      </c>
      <c r="AR279" s="638">
        <v>6</v>
      </c>
      <c r="AS279" s="634" t="s">
        <v>99</v>
      </c>
    </row>
    <row r="280" spans="11:45" ht="24.75" thickBot="1" x14ac:dyDescent="0.3">
      <c r="K280" s="631">
        <v>5</v>
      </c>
      <c r="L280" s="640" t="s">
        <v>681</v>
      </c>
      <c r="M280" s="634"/>
      <c r="N280" s="634"/>
      <c r="O280" s="634"/>
      <c r="P280" s="634"/>
      <c r="Q280" s="634"/>
      <c r="R280" s="634"/>
      <c r="S280" s="634"/>
      <c r="T280" s="634"/>
      <c r="U280" s="634"/>
      <c r="V280" s="634"/>
      <c r="W280" s="634"/>
      <c r="X280" s="633"/>
      <c r="Y280" s="634"/>
      <c r="Z280" s="634"/>
      <c r="AA280" s="633"/>
      <c r="AB280" s="634"/>
      <c r="AC280" s="634"/>
      <c r="AD280" s="633"/>
      <c r="AE280" s="634"/>
      <c r="AF280" s="634"/>
      <c r="AG280" s="634"/>
      <c r="AH280" s="634"/>
      <c r="AI280" s="634"/>
      <c r="AJ280" s="634"/>
      <c r="AK280" s="634">
        <v>160</v>
      </c>
      <c r="AL280" s="633">
        <v>160</v>
      </c>
      <c r="AM280" s="633"/>
      <c r="AN280" s="633">
        <v>6</v>
      </c>
      <c r="AO280" s="638">
        <v>160</v>
      </c>
      <c r="AP280" s="638">
        <v>0</v>
      </c>
      <c r="AQ280" s="638">
        <v>160</v>
      </c>
      <c r="AR280" s="638">
        <v>6</v>
      </c>
      <c r="AS280" s="634" t="s">
        <v>99</v>
      </c>
    </row>
    <row r="281" spans="11:45" ht="24.75" thickBot="1" x14ac:dyDescent="0.3">
      <c r="K281" s="631">
        <v>6</v>
      </c>
      <c r="L281" s="639" t="s">
        <v>524</v>
      </c>
      <c r="M281" s="634"/>
      <c r="N281" s="634"/>
      <c r="O281" s="634"/>
      <c r="P281" s="634"/>
      <c r="Q281" s="634"/>
      <c r="R281" s="634"/>
      <c r="S281" s="634"/>
      <c r="T281" s="634"/>
      <c r="U281" s="634"/>
      <c r="V281" s="634"/>
      <c r="W281" s="634"/>
      <c r="X281" s="648"/>
      <c r="Y281" s="634"/>
      <c r="Z281" s="634"/>
      <c r="AA281" s="634"/>
      <c r="AB281" s="634"/>
      <c r="AC281" s="634"/>
      <c r="AD281" s="633">
        <v>10</v>
      </c>
      <c r="AE281" s="634"/>
      <c r="AF281" s="634"/>
      <c r="AG281" s="634"/>
      <c r="AH281" s="634"/>
      <c r="AI281" s="634"/>
      <c r="AJ281" s="634"/>
      <c r="AK281" s="634"/>
      <c r="AL281" s="633">
        <v>10</v>
      </c>
      <c r="AM281" s="633">
        <v>40</v>
      </c>
      <c r="AN281" s="633">
        <v>2</v>
      </c>
      <c r="AO281" s="638">
        <v>10</v>
      </c>
      <c r="AP281" s="638">
        <v>40</v>
      </c>
      <c r="AQ281" s="638">
        <v>50</v>
      </c>
      <c r="AR281" s="638">
        <v>2</v>
      </c>
      <c r="AS281" s="634" t="s">
        <v>99</v>
      </c>
    </row>
    <row r="282" spans="11:45" ht="26.25" thickBot="1" x14ac:dyDescent="0.3">
      <c r="K282" s="631">
        <v>7</v>
      </c>
      <c r="L282" s="641" t="s">
        <v>694</v>
      </c>
      <c r="M282" s="637"/>
      <c r="N282" s="634"/>
      <c r="O282" s="634">
        <v>40</v>
      </c>
      <c r="P282" s="634"/>
      <c r="Q282" s="634"/>
      <c r="R282" s="634"/>
      <c r="S282" s="634"/>
      <c r="T282" s="634"/>
      <c r="U282" s="634"/>
      <c r="V282" s="634"/>
      <c r="W282" s="634"/>
      <c r="X282" s="633">
        <v>40</v>
      </c>
      <c r="Y282" s="634">
        <v>10</v>
      </c>
      <c r="Z282" s="634">
        <v>2</v>
      </c>
      <c r="AA282" s="633"/>
      <c r="AB282" s="634"/>
      <c r="AC282" s="634"/>
      <c r="AD282" s="633"/>
      <c r="AE282" s="634"/>
      <c r="AF282" s="634"/>
      <c r="AG282" s="634"/>
      <c r="AH282" s="634"/>
      <c r="AI282" s="634"/>
      <c r="AJ282" s="634"/>
      <c r="AK282" s="634"/>
      <c r="AL282" s="633"/>
      <c r="AM282" s="633"/>
      <c r="AN282" s="633"/>
      <c r="AO282" s="638">
        <v>40</v>
      </c>
      <c r="AP282" s="638">
        <v>10</v>
      </c>
      <c r="AQ282" s="638">
        <v>50</v>
      </c>
      <c r="AR282" s="638">
        <v>2</v>
      </c>
      <c r="AS282" s="634" t="s">
        <v>99</v>
      </c>
    </row>
    <row r="283" spans="11:45" ht="39" thickBot="1" x14ac:dyDescent="0.3">
      <c r="K283" s="631">
        <v>8</v>
      </c>
      <c r="L283" s="583" t="s">
        <v>699</v>
      </c>
      <c r="M283" s="634"/>
      <c r="N283" s="634"/>
      <c r="O283" s="634"/>
      <c r="P283" s="634"/>
      <c r="Q283" s="634"/>
      <c r="R283" s="634"/>
      <c r="S283" s="634"/>
      <c r="T283" s="634"/>
      <c r="U283" s="634"/>
      <c r="V283" s="634"/>
      <c r="W283" s="634"/>
      <c r="X283" s="633"/>
      <c r="Y283" s="636"/>
      <c r="Z283" s="696"/>
      <c r="AA283" s="631">
        <v>10</v>
      </c>
      <c r="AB283" s="634"/>
      <c r="AC283" s="634">
        <v>30</v>
      </c>
      <c r="AD283" s="633"/>
      <c r="AE283" s="634"/>
      <c r="AF283" s="634"/>
      <c r="AG283" s="634"/>
      <c r="AH283" s="634"/>
      <c r="AI283" s="634"/>
      <c r="AJ283" s="634"/>
      <c r="AK283" s="634"/>
      <c r="AL283" s="633">
        <v>40</v>
      </c>
      <c r="AM283" s="635">
        <v>10</v>
      </c>
      <c r="AN283" s="631">
        <v>2</v>
      </c>
      <c r="AO283" s="638">
        <v>40</v>
      </c>
      <c r="AP283" s="638">
        <v>10</v>
      </c>
      <c r="AQ283" s="638">
        <v>50</v>
      </c>
      <c r="AR283" s="638">
        <v>2</v>
      </c>
      <c r="AS283" s="634" t="s">
        <v>99</v>
      </c>
    </row>
    <row r="284" spans="11:45" ht="15.75" thickBot="1" x14ac:dyDescent="0.3">
      <c r="K284" s="631">
        <v>9</v>
      </c>
      <c r="L284" s="639" t="s">
        <v>465</v>
      </c>
      <c r="M284" s="634"/>
      <c r="N284" s="634"/>
      <c r="O284" s="634"/>
      <c r="P284" s="634"/>
      <c r="Q284" s="634"/>
      <c r="R284" s="634"/>
      <c r="S284" s="634"/>
      <c r="T284" s="634"/>
      <c r="U284" s="634"/>
      <c r="V284" s="634"/>
      <c r="W284" s="634"/>
      <c r="X284" s="633"/>
      <c r="Y284" s="634"/>
      <c r="Z284" s="634"/>
      <c r="AA284" s="633">
        <v>20</v>
      </c>
      <c r="AB284" s="634"/>
      <c r="AC284" s="634"/>
      <c r="AD284" s="633">
        <v>30</v>
      </c>
      <c r="AE284" s="634"/>
      <c r="AF284" s="634"/>
      <c r="AG284" s="634"/>
      <c r="AH284" s="634"/>
      <c r="AI284" s="634"/>
      <c r="AJ284" s="634"/>
      <c r="AK284" s="634"/>
      <c r="AL284" s="633">
        <v>50</v>
      </c>
      <c r="AM284" s="633">
        <v>50</v>
      </c>
      <c r="AN284" s="633">
        <v>4</v>
      </c>
      <c r="AO284" s="638">
        <v>50</v>
      </c>
      <c r="AP284" s="638">
        <v>50</v>
      </c>
      <c r="AQ284" s="638">
        <v>100</v>
      </c>
      <c r="AR284" s="638">
        <v>4</v>
      </c>
      <c r="AS284" s="634" t="s">
        <v>56</v>
      </c>
    </row>
    <row r="285" spans="11:45" ht="15.75" thickBot="1" x14ac:dyDescent="0.3">
      <c r="K285" s="631">
        <v>10</v>
      </c>
      <c r="L285" s="639" t="s">
        <v>523</v>
      </c>
      <c r="M285" s="634"/>
      <c r="N285" s="634"/>
      <c r="O285" s="634"/>
      <c r="P285" s="634"/>
      <c r="Q285" s="634"/>
      <c r="R285" s="634"/>
      <c r="S285" s="634"/>
      <c r="T285" s="634"/>
      <c r="U285" s="634"/>
      <c r="V285" s="634"/>
      <c r="W285" s="634"/>
      <c r="X285" s="633"/>
      <c r="Y285" s="636"/>
      <c r="Z285" s="637"/>
      <c r="AA285" s="633">
        <v>20</v>
      </c>
      <c r="AB285" s="634"/>
      <c r="AC285" s="634"/>
      <c r="AD285" s="633">
        <v>30</v>
      </c>
      <c r="AE285" s="634"/>
      <c r="AF285" s="634"/>
      <c r="AG285" s="634"/>
      <c r="AH285" s="634"/>
      <c r="AI285" s="634"/>
      <c r="AJ285" s="634"/>
      <c r="AK285" s="634"/>
      <c r="AL285" s="633">
        <v>50</v>
      </c>
      <c r="AM285" s="633">
        <v>75</v>
      </c>
      <c r="AN285" s="633">
        <v>5</v>
      </c>
      <c r="AO285" s="638">
        <v>50</v>
      </c>
      <c r="AP285" s="638">
        <v>75</v>
      </c>
      <c r="AQ285" s="638">
        <v>125</v>
      </c>
      <c r="AR285" s="638">
        <v>5</v>
      </c>
      <c r="AS285" s="634" t="s">
        <v>56</v>
      </c>
    </row>
    <row r="286" spans="11:45" ht="15.75" thickBot="1" x14ac:dyDescent="0.3">
      <c r="K286" s="631">
        <v>11</v>
      </c>
      <c r="L286" s="639" t="s">
        <v>580</v>
      </c>
      <c r="M286" s="633">
        <v>15</v>
      </c>
      <c r="N286" s="634"/>
      <c r="O286" s="633">
        <v>30</v>
      </c>
      <c r="P286" s="634"/>
      <c r="Q286" s="634"/>
      <c r="R286" s="634"/>
      <c r="S286" s="634"/>
      <c r="T286" s="634"/>
      <c r="U286" s="634"/>
      <c r="V286" s="634"/>
      <c r="W286" s="634"/>
      <c r="X286" s="633">
        <v>45</v>
      </c>
      <c r="Y286" s="635">
        <v>5</v>
      </c>
      <c r="Z286" s="631">
        <v>2</v>
      </c>
      <c r="AA286" s="634"/>
      <c r="AB286" s="634"/>
      <c r="AC286" s="634"/>
      <c r="AD286" s="634"/>
      <c r="AE286" s="634"/>
      <c r="AF286" s="634"/>
      <c r="AG286" s="634"/>
      <c r="AH286" s="634"/>
      <c r="AI286" s="634"/>
      <c r="AJ286" s="634"/>
      <c r="AK286" s="634"/>
      <c r="AL286" s="648"/>
      <c r="AM286" s="634"/>
      <c r="AN286" s="634"/>
      <c r="AO286" s="638">
        <v>45</v>
      </c>
      <c r="AP286" s="638">
        <v>5</v>
      </c>
      <c r="AQ286" s="638">
        <v>50</v>
      </c>
      <c r="AR286" s="638">
        <v>2</v>
      </c>
      <c r="AS286" s="634" t="s">
        <v>99</v>
      </c>
    </row>
    <row r="287" spans="11:45" ht="15.75" thickBot="1" x14ac:dyDescent="0.3">
      <c r="K287" s="642">
        <v>12</v>
      </c>
      <c r="L287" s="639" t="s">
        <v>586</v>
      </c>
      <c r="M287" s="634"/>
      <c r="N287" s="634"/>
      <c r="O287" s="634"/>
      <c r="P287" s="634"/>
      <c r="Q287" s="634"/>
      <c r="R287" s="634"/>
      <c r="S287" s="634"/>
      <c r="T287" s="634"/>
      <c r="U287" s="634"/>
      <c r="V287" s="634"/>
      <c r="W287" s="634"/>
      <c r="X287" s="648"/>
      <c r="Y287" s="636"/>
      <c r="Z287" s="637"/>
      <c r="AA287" s="633">
        <v>30</v>
      </c>
      <c r="AB287" s="634"/>
      <c r="AC287" s="633">
        <v>30</v>
      </c>
      <c r="AD287" s="634"/>
      <c r="AE287" s="634"/>
      <c r="AF287" s="634"/>
      <c r="AG287" s="634"/>
      <c r="AH287" s="634"/>
      <c r="AI287" s="634"/>
      <c r="AJ287" s="634"/>
      <c r="AK287" s="634"/>
      <c r="AL287" s="633">
        <v>60</v>
      </c>
      <c r="AM287" s="635">
        <v>15</v>
      </c>
      <c r="AN287" s="631">
        <v>3</v>
      </c>
      <c r="AO287" s="638">
        <v>60</v>
      </c>
      <c r="AP287" s="638">
        <v>15</v>
      </c>
      <c r="AQ287" s="638">
        <v>75</v>
      </c>
      <c r="AR287" s="638">
        <v>3</v>
      </c>
      <c r="AS287" s="634" t="s">
        <v>99</v>
      </c>
    </row>
    <row r="288" spans="11:45" ht="15.75" thickBot="1" x14ac:dyDescent="0.3">
      <c r="K288" s="643">
        <v>13</v>
      </c>
      <c r="L288" s="639" t="s">
        <v>623</v>
      </c>
      <c r="M288" s="633">
        <v>30</v>
      </c>
      <c r="N288" s="634"/>
      <c r="O288" s="634"/>
      <c r="P288" s="633">
        <v>30</v>
      </c>
      <c r="Q288" s="634"/>
      <c r="R288" s="634"/>
      <c r="S288" s="634"/>
      <c r="T288" s="634"/>
      <c r="U288" s="634"/>
      <c r="V288" s="634"/>
      <c r="W288" s="634"/>
      <c r="X288" s="633">
        <v>60</v>
      </c>
      <c r="Y288" s="635">
        <v>15</v>
      </c>
      <c r="Z288" s="631">
        <v>3</v>
      </c>
      <c r="AA288" s="634"/>
      <c r="AB288" s="634"/>
      <c r="AC288" s="634"/>
      <c r="AD288" s="634"/>
      <c r="AE288" s="634"/>
      <c r="AF288" s="634"/>
      <c r="AG288" s="634"/>
      <c r="AH288" s="634"/>
      <c r="AI288" s="634"/>
      <c r="AJ288" s="634"/>
      <c r="AK288" s="634"/>
      <c r="AL288" s="648"/>
      <c r="AM288" s="634"/>
      <c r="AN288" s="634"/>
      <c r="AO288" s="638">
        <v>60</v>
      </c>
      <c r="AP288" s="638">
        <v>15</v>
      </c>
      <c r="AQ288" s="638">
        <v>75</v>
      </c>
      <c r="AR288" s="638">
        <v>3</v>
      </c>
      <c r="AS288" s="634" t="s">
        <v>56</v>
      </c>
    </row>
    <row r="289" spans="11:45" ht="15.75" thickBot="1" x14ac:dyDescent="0.3">
      <c r="K289" s="631">
        <v>14</v>
      </c>
      <c r="L289" s="639" t="s">
        <v>464</v>
      </c>
      <c r="M289" s="634"/>
      <c r="N289" s="634"/>
      <c r="O289" s="634"/>
      <c r="P289" s="634"/>
      <c r="Q289" s="634"/>
      <c r="R289" s="634"/>
      <c r="S289" s="634"/>
      <c r="T289" s="634"/>
      <c r="U289" s="634"/>
      <c r="V289" s="634"/>
      <c r="W289" s="634"/>
      <c r="X289" s="648"/>
      <c r="Y289" s="636"/>
      <c r="Z289" s="637"/>
      <c r="AA289" s="633">
        <v>30</v>
      </c>
      <c r="AB289" s="634"/>
      <c r="AC289" s="633">
        <v>30</v>
      </c>
      <c r="AD289" s="634"/>
      <c r="AE289" s="634"/>
      <c r="AF289" s="634"/>
      <c r="AG289" s="634"/>
      <c r="AH289" s="634"/>
      <c r="AI289" s="634"/>
      <c r="AJ289" s="634"/>
      <c r="AK289" s="634"/>
      <c r="AL289" s="633">
        <v>60</v>
      </c>
      <c r="AM289" s="633">
        <v>15</v>
      </c>
      <c r="AN289" s="633">
        <v>3</v>
      </c>
      <c r="AO289" s="638">
        <v>60</v>
      </c>
      <c r="AP289" s="638">
        <v>15</v>
      </c>
      <c r="AQ289" s="638">
        <v>75</v>
      </c>
      <c r="AR289" s="638">
        <v>3</v>
      </c>
      <c r="AS289" s="634" t="s">
        <v>56</v>
      </c>
    </row>
    <row r="290" spans="11:45" ht="15.75" thickBot="1" x14ac:dyDescent="0.3">
      <c r="K290" s="631">
        <v>15</v>
      </c>
      <c r="L290" s="639" t="s">
        <v>463</v>
      </c>
      <c r="M290" s="633">
        <v>30</v>
      </c>
      <c r="N290" s="634"/>
      <c r="O290" s="634"/>
      <c r="P290" s="634"/>
      <c r="Q290" s="634"/>
      <c r="R290" s="634"/>
      <c r="S290" s="633">
        <v>45</v>
      </c>
      <c r="T290" s="634"/>
      <c r="U290" s="634"/>
      <c r="V290" s="634"/>
      <c r="W290" s="634"/>
      <c r="X290" s="633">
        <v>75</v>
      </c>
      <c r="Y290" s="635">
        <v>25</v>
      </c>
      <c r="Z290" s="631">
        <v>4</v>
      </c>
      <c r="AA290" s="634"/>
      <c r="AB290" s="634"/>
      <c r="AC290" s="634"/>
      <c r="AD290" s="634"/>
      <c r="AE290" s="634"/>
      <c r="AF290" s="634"/>
      <c r="AG290" s="634"/>
      <c r="AH290" s="634"/>
      <c r="AI290" s="634"/>
      <c r="AJ290" s="634"/>
      <c r="AK290" s="634"/>
      <c r="AL290" s="648"/>
      <c r="AM290" s="634"/>
      <c r="AN290" s="634"/>
      <c r="AO290" s="638">
        <v>75</v>
      </c>
      <c r="AP290" s="638">
        <v>25</v>
      </c>
      <c r="AQ290" s="638">
        <v>100</v>
      </c>
      <c r="AR290" s="638">
        <v>4</v>
      </c>
      <c r="AS290" s="634" t="s">
        <v>56</v>
      </c>
    </row>
    <row r="291" spans="11:45" ht="15.75" thickBot="1" x14ac:dyDescent="0.3">
      <c r="K291" s="631">
        <v>16</v>
      </c>
      <c r="L291" s="632" t="s">
        <v>496</v>
      </c>
      <c r="M291" s="634"/>
      <c r="N291" s="633">
        <v>5</v>
      </c>
      <c r="O291" s="634"/>
      <c r="P291" s="633">
        <v>30</v>
      </c>
      <c r="Q291" s="634"/>
      <c r="R291" s="634"/>
      <c r="S291" s="634"/>
      <c r="T291" s="634"/>
      <c r="U291" s="634"/>
      <c r="V291" s="634"/>
      <c r="W291" s="634"/>
      <c r="X291" s="633">
        <v>35</v>
      </c>
      <c r="Y291" s="635">
        <v>3</v>
      </c>
      <c r="Z291" s="631">
        <v>1.5</v>
      </c>
      <c r="AA291" s="634"/>
      <c r="AB291" s="634"/>
      <c r="AC291" s="634"/>
      <c r="AD291" s="633">
        <v>30</v>
      </c>
      <c r="AE291" s="634"/>
      <c r="AF291" s="634"/>
      <c r="AG291" s="634"/>
      <c r="AH291" s="634"/>
      <c r="AI291" s="634"/>
      <c r="AJ291" s="634"/>
      <c r="AK291" s="634"/>
      <c r="AL291" s="633">
        <v>30</v>
      </c>
      <c r="AM291" s="634">
        <v>7</v>
      </c>
      <c r="AN291" s="634" t="s">
        <v>703</v>
      </c>
      <c r="AO291" s="638">
        <v>65</v>
      </c>
      <c r="AP291" s="638">
        <v>10</v>
      </c>
      <c r="AQ291" s="638">
        <v>75</v>
      </c>
      <c r="AR291" s="638">
        <v>3</v>
      </c>
      <c r="AS291" s="634" t="s">
        <v>99</v>
      </c>
    </row>
    <row r="292" spans="11:45" ht="15.75" thickBot="1" x14ac:dyDescent="0.3">
      <c r="K292" s="631">
        <v>17</v>
      </c>
      <c r="L292" s="639" t="s">
        <v>455</v>
      </c>
      <c r="M292" s="634">
        <v>30</v>
      </c>
      <c r="N292" s="633"/>
      <c r="O292" s="634">
        <v>30</v>
      </c>
      <c r="P292" s="633"/>
      <c r="Q292" s="634"/>
      <c r="R292" s="634"/>
      <c r="S292" s="634"/>
      <c r="T292" s="634"/>
      <c r="U292" s="634"/>
      <c r="V292" s="634"/>
      <c r="W292" s="634"/>
      <c r="X292" s="633">
        <v>60</v>
      </c>
      <c r="Y292" s="633">
        <v>65</v>
      </c>
      <c r="Z292" s="633">
        <v>5</v>
      </c>
      <c r="AA292" s="634"/>
      <c r="AB292" s="634"/>
      <c r="AC292" s="634"/>
      <c r="AD292" s="633"/>
      <c r="AE292" s="634"/>
      <c r="AF292" s="634"/>
      <c r="AG292" s="634"/>
      <c r="AH292" s="634"/>
      <c r="AI292" s="634"/>
      <c r="AJ292" s="634"/>
      <c r="AK292" s="634"/>
      <c r="AL292" s="633"/>
      <c r="AM292" s="634"/>
      <c r="AN292" s="634"/>
      <c r="AO292" s="638">
        <v>60</v>
      </c>
      <c r="AP292" s="638">
        <v>65</v>
      </c>
      <c r="AQ292" s="638">
        <v>125</v>
      </c>
      <c r="AR292" s="638">
        <v>5</v>
      </c>
      <c r="AS292" s="634" t="s">
        <v>56</v>
      </c>
    </row>
    <row r="293" spans="11:45" ht="15.75" thickBot="1" x14ac:dyDescent="0.3">
      <c r="K293" s="1439" t="s">
        <v>21</v>
      </c>
      <c r="L293" s="1440"/>
      <c r="M293" s="764">
        <v>155</v>
      </c>
      <c r="N293" s="764">
        <v>5</v>
      </c>
      <c r="O293" s="764">
        <v>100</v>
      </c>
      <c r="P293" s="764">
        <v>110</v>
      </c>
      <c r="Q293" s="764">
        <v>0</v>
      </c>
      <c r="R293" s="764">
        <v>0</v>
      </c>
      <c r="S293" s="764">
        <v>45</v>
      </c>
      <c r="T293" s="764">
        <v>0</v>
      </c>
      <c r="U293" s="764">
        <v>0</v>
      </c>
      <c r="V293" s="764">
        <v>0</v>
      </c>
      <c r="W293" s="764">
        <v>160</v>
      </c>
      <c r="X293" s="764">
        <v>575</v>
      </c>
      <c r="Y293" s="764">
        <v>198</v>
      </c>
      <c r="Z293" s="764">
        <v>30.5</v>
      </c>
      <c r="AA293" s="764">
        <v>125</v>
      </c>
      <c r="AB293" s="764">
        <v>0</v>
      </c>
      <c r="AC293" s="764">
        <v>90</v>
      </c>
      <c r="AD293" s="764">
        <v>115</v>
      </c>
      <c r="AE293" s="764">
        <v>0</v>
      </c>
      <c r="AF293" s="764">
        <v>0</v>
      </c>
      <c r="AG293" s="764">
        <v>0</v>
      </c>
      <c r="AH293" s="764">
        <v>0</v>
      </c>
      <c r="AI293" s="764">
        <v>0</v>
      </c>
      <c r="AJ293" s="764">
        <v>0</v>
      </c>
      <c r="AK293" s="764">
        <v>160</v>
      </c>
      <c r="AL293" s="764">
        <v>415</v>
      </c>
      <c r="AM293" s="764">
        <v>257</v>
      </c>
      <c r="AN293" s="764">
        <v>29.5</v>
      </c>
      <c r="AO293" s="765">
        <v>1065</v>
      </c>
      <c r="AP293" s="765">
        <v>455</v>
      </c>
      <c r="AQ293" s="765">
        <v>1520</v>
      </c>
      <c r="AR293" s="765">
        <v>60</v>
      </c>
      <c r="AS293" s="634"/>
    </row>
    <row r="294" spans="11:45" x14ac:dyDescent="0.25">
      <c r="M294">
        <f>SUM(M276:M292)</f>
        <v>155</v>
      </c>
      <c r="N294">
        <f t="shared" ref="N294:AS294" si="12">SUM(N276:N292)</f>
        <v>5</v>
      </c>
      <c r="O294">
        <f t="shared" si="12"/>
        <v>100</v>
      </c>
      <c r="P294">
        <f t="shared" si="12"/>
        <v>110</v>
      </c>
      <c r="Q294">
        <f t="shared" si="12"/>
        <v>0</v>
      </c>
      <c r="R294">
        <f t="shared" si="12"/>
        <v>0</v>
      </c>
      <c r="S294">
        <f t="shared" si="12"/>
        <v>45</v>
      </c>
      <c r="T294">
        <f t="shared" si="12"/>
        <v>0</v>
      </c>
      <c r="U294">
        <f t="shared" si="12"/>
        <v>0</v>
      </c>
      <c r="V294">
        <f t="shared" si="12"/>
        <v>0</v>
      </c>
      <c r="W294">
        <f t="shared" si="12"/>
        <v>160</v>
      </c>
      <c r="X294">
        <f t="shared" si="12"/>
        <v>575</v>
      </c>
      <c r="Y294">
        <f t="shared" si="12"/>
        <v>198</v>
      </c>
      <c r="Z294">
        <f t="shared" si="12"/>
        <v>30.5</v>
      </c>
      <c r="AA294">
        <f t="shared" si="12"/>
        <v>125</v>
      </c>
      <c r="AB294">
        <f t="shared" si="12"/>
        <v>0</v>
      </c>
      <c r="AC294">
        <f t="shared" si="12"/>
        <v>90</v>
      </c>
      <c r="AD294">
        <f t="shared" si="12"/>
        <v>115</v>
      </c>
      <c r="AE294">
        <f t="shared" si="12"/>
        <v>0</v>
      </c>
      <c r="AF294">
        <f t="shared" si="12"/>
        <v>0</v>
      </c>
      <c r="AG294">
        <f t="shared" si="12"/>
        <v>0</v>
      </c>
      <c r="AH294">
        <f t="shared" si="12"/>
        <v>0</v>
      </c>
      <c r="AI294">
        <f t="shared" si="12"/>
        <v>0</v>
      </c>
      <c r="AJ294">
        <f t="shared" si="12"/>
        <v>0</v>
      </c>
      <c r="AK294">
        <f t="shared" si="12"/>
        <v>160</v>
      </c>
      <c r="AL294">
        <f t="shared" si="12"/>
        <v>490</v>
      </c>
      <c r="AM294">
        <f t="shared" si="12"/>
        <v>257</v>
      </c>
      <c r="AN294">
        <f t="shared" si="12"/>
        <v>28</v>
      </c>
      <c r="AO294">
        <f t="shared" si="12"/>
        <v>1065</v>
      </c>
      <c r="AP294">
        <f t="shared" si="12"/>
        <v>455</v>
      </c>
      <c r="AQ294">
        <f t="shared" si="12"/>
        <v>1520</v>
      </c>
      <c r="AR294">
        <f t="shared" si="12"/>
        <v>60</v>
      </c>
      <c r="AS294">
        <f t="shared" si="12"/>
        <v>0</v>
      </c>
    </row>
    <row r="295" spans="11:45" x14ac:dyDescent="0.25">
      <c r="X295">
        <f>SUM(X294:Y294)</f>
        <v>773</v>
      </c>
      <c r="AK295">
        <f>SUM(AL294:AM294)</f>
        <v>747</v>
      </c>
    </row>
    <row r="298" spans="11:45" ht="15.75" thickBot="1" x14ac:dyDescent="0.3"/>
    <row r="299" spans="11:45" ht="15.75" thickBot="1" x14ac:dyDescent="0.3">
      <c r="K299" s="1375" t="s">
        <v>638</v>
      </c>
      <c r="L299" s="1390" t="s">
        <v>2</v>
      </c>
      <c r="M299" s="1376" t="s">
        <v>688</v>
      </c>
      <c r="N299" s="1393"/>
      <c r="O299" s="1393"/>
      <c r="P299" s="1393"/>
      <c r="Q299" s="1393"/>
      <c r="R299" s="1393"/>
      <c r="S299" s="1393"/>
      <c r="T299" s="1393"/>
      <c r="U299" s="1393"/>
      <c r="V299" s="1393"/>
      <c r="W299" s="1393"/>
      <c r="X299" s="1393"/>
      <c r="Y299" s="1393"/>
      <c r="Z299" s="1377"/>
      <c r="AA299" s="1394" t="s">
        <v>689</v>
      </c>
      <c r="AB299" s="1395"/>
      <c r="AC299" s="1395"/>
      <c r="AD299" s="1395"/>
      <c r="AE299" s="1395"/>
      <c r="AF299" s="1395"/>
      <c r="AG299" s="1395"/>
      <c r="AH299" s="1395"/>
      <c r="AI299" s="1395"/>
      <c r="AJ299" s="1395"/>
      <c r="AK299" s="1395"/>
      <c r="AL299" s="1395"/>
      <c r="AM299" s="1395"/>
      <c r="AN299" s="1396"/>
      <c r="AO299" s="1397" t="s">
        <v>28</v>
      </c>
      <c r="AP299" s="1393"/>
      <c r="AQ299" s="1393"/>
      <c r="AR299" s="1398"/>
      <c r="AS299" s="1441" t="s">
        <v>690</v>
      </c>
    </row>
    <row r="300" spans="11:45" ht="24" customHeight="1" thickBot="1" x14ac:dyDescent="0.3">
      <c r="K300" s="1373"/>
      <c r="L300" s="1391"/>
      <c r="M300" s="1383" t="s">
        <v>6</v>
      </c>
      <c r="N300" s="1383" t="s">
        <v>7</v>
      </c>
      <c r="O300" s="1383" t="s">
        <v>8</v>
      </c>
      <c r="P300" s="1383" t="s">
        <v>9</v>
      </c>
      <c r="Q300" s="1383" t="s">
        <v>691</v>
      </c>
      <c r="R300" s="1383" t="s">
        <v>10</v>
      </c>
      <c r="S300" s="1383" t="s">
        <v>11</v>
      </c>
      <c r="T300" s="1383" t="s">
        <v>14</v>
      </c>
      <c r="U300" s="1383" t="s">
        <v>15</v>
      </c>
      <c r="V300" s="1383" t="s">
        <v>54</v>
      </c>
      <c r="W300" s="1383" t="s">
        <v>16</v>
      </c>
      <c r="X300" s="1375" t="s">
        <v>692</v>
      </c>
      <c r="Y300" s="1375" t="s">
        <v>67</v>
      </c>
      <c r="Z300" s="1375" t="s">
        <v>19</v>
      </c>
      <c r="AA300" s="1383" t="s">
        <v>6</v>
      </c>
      <c r="AB300" s="1383" t="s">
        <v>7</v>
      </c>
      <c r="AC300" s="1383" t="s">
        <v>20</v>
      </c>
      <c r="AD300" s="1383" t="s">
        <v>9</v>
      </c>
      <c r="AE300" s="1383" t="s">
        <v>691</v>
      </c>
      <c r="AF300" s="1383" t="s">
        <v>10</v>
      </c>
      <c r="AG300" s="1375" t="s">
        <v>11</v>
      </c>
      <c r="AH300" s="1375" t="s">
        <v>14</v>
      </c>
      <c r="AI300" s="1375" t="s">
        <v>15</v>
      </c>
      <c r="AJ300" s="1375" t="s">
        <v>54</v>
      </c>
      <c r="AK300" s="1375" t="s">
        <v>16</v>
      </c>
      <c r="AL300" s="1375" t="s">
        <v>692</v>
      </c>
      <c r="AM300" s="1375" t="s">
        <v>67</v>
      </c>
      <c r="AN300" s="1375" t="s">
        <v>19</v>
      </c>
      <c r="AO300" s="1378" t="s">
        <v>69</v>
      </c>
      <c r="AP300" s="1379"/>
      <c r="AQ300" s="1380"/>
      <c r="AR300" s="1381" t="s">
        <v>693</v>
      </c>
      <c r="AS300" s="1442"/>
    </row>
    <row r="301" spans="11:45" ht="103.5" customHeight="1" thickBot="1" x14ac:dyDescent="0.3">
      <c r="K301" s="1374"/>
      <c r="L301" s="1392"/>
      <c r="M301" s="1384"/>
      <c r="N301" s="1384"/>
      <c r="O301" s="1384"/>
      <c r="P301" s="1384"/>
      <c r="Q301" s="1384"/>
      <c r="R301" s="1384"/>
      <c r="S301" s="1384"/>
      <c r="T301" s="1384"/>
      <c r="U301" s="1384"/>
      <c r="V301" s="1384"/>
      <c r="W301" s="1384"/>
      <c r="X301" s="1374"/>
      <c r="Y301" s="1374"/>
      <c r="Z301" s="1374"/>
      <c r="AA301" s="1384"/>
      <c r="AB301" s="1384"/>
      <c r="AC301" s="1384"/>
      <c r="AD301" s="1384"/>
      <c r="AE301" s="1384"/>
      <c r="AF301" s="1384"/>
      <c r="AG301" s="1374"/>
      <c r="AH301" s="1374"/>
      <c r="AI301" s="1374"/>
      <c r="AJ301" s="1374"/>
      <c r="AK301" s="1374"/>
      <c r="AL301" s="1374"/>
      <c r="AM301" s="1374"/>
      <c r="AN301" s="1374"/>
      <c r="AO301" s="630" t="s">
        <v>72</v>
      </c>
      <c r="AP301" s="630" t="s">
        <v>68</v>
      </c>
      <c r="AQ301" s="630" t="s">
        <v>71</v>
      </c>
      <c r="AR301" s="1382"/>
      <c r="AS301" s="1443"/>
    </row>
    <row r="302" spans="11:45" ht="15.75" thickBot="1" x14ac:dyDescent="0.3">
      <c r="K302" s="631">
        <v>1</v>
      </c>
      <c r="L302" s="639" t="s">
        <v>466</v>
      </c>
      <c r="M302" s="775"/>
      <c r="N302" s="775"/>
      <c r="O302" s="775"/>
      <c r="P302" s="775"/>
      <c r="Q302" s="775"/>
      <c r="R302" s="775"/>
      <c r="S302" s="775"/>
      <c r="T302" s="775"/>
      <c r="U302" s="775"/>
      <c r="V302" s="775"/>
      <c r="W302" s="775"/>
      <c r="X302" s="776"/>
      <c r="Y302" s="777"/>
      <c r="Z302" s="778"/>
      <c r="AA302" s="783">
        <v>30</v>
      </c>
      <c r="AB302" s="784"/>
      <c r="AC302" s="784"/>
      <c r="AD302" s="784"/>
      <c r="AE302" s="784"/>
      <c r="AF302" s="784"/>
      <c r="AG302" s="785">
        <v>45</v>
      </c>
      <c r="AH302" s="784"/>
      <c r="AI302" s="784"/>
      <c r="AJ302" s="784"/>
      <c r="AK302" s="784"/>
      <c r="AL302" s="785">
        <v>75</v>
      </c>
      <c r="AM302" s="785">
        <v>25</v>
      </c>
      <c r="AN302" s="785">
        <v>4</v>
      </c>
      <c r="AO302" s="638">
        <v>75</v>
      </c>
      <c r="AP302" s="638">
        <v>25</v>
      </c>
      <c r="AQ302" s="638">
        <v>100</v>
      </c>
      <c r="AR302" s="638">
        <v>4</v>
      </c>
      <c r="AS302" s="634" t="s">
        <v>56</v>
      </c>
    </row>
    <row r="303" spans="11:45" ht="15.75" thickBot="1" x14ac:dyDescent="0.3">
      <c r="K303" s="631">
        <v>2</v>
      </c>
      <c r="L303" s="639" t="s">
        <v>467</v>
      </c>
      <c r="M303" s="779">
        <v>10</v>
      </c>
      <c r="N303" s="775"/>
      <c r="O303" s="775"/>
      <c r="P303" s="779">
        <v>10</v>
      </c>
      <c r="Q303" s="775"/>
      <c r="R303" s="775"/>
      <c r="S303" s="775"/>
      <c r="T303" s="775"/>
      <c r="U303" s="775"/>
      <c r="V303" s="775"/>
      <c r="W303" s="775"/>
      <c r="X303" s="779">
        <v>20</v>
      </c>
      <c r="Y303" s="781">
        <v>30</v>
      </c>
      <c r="Z303" s="780">
        <v>2</v>
      </c>
      <c r="AA303" s="787"/>
      <c r="AB303" s="784"/>
      <c r="AC303" s="784"/>
      <c r="AD303" s="784"/>
      <c r="AE303" s="784"/>
      <c r="AF303" s="784"/>
      <c r="AG303" s="784"/>
      <c r="AH303" s="784"/>
      <c r="AI303" s="784"/>
      <c r="AJ303" s="784"/>
      <c r="AK303" s="784"/>
      <c r="AL303" s="788"/>
      <c r="AM303" s="784"/>
      <c r="AN303" s="784"/>
      <c r="AO303" s="638">
        <v>20</v>
      </c>
      <c r="AP303" s="638">
        <v>30</v>
      </c>
      <c r="AQ303" s="638">
        <v>50</v>
      </c>
      <c r="AR303" s="638">
        <v>2</v>
      </c>
      <c r="AS303" s="634" t="s">
        <v>99</v>
      </c>
    </row>
    <row r="304" spans="11:45" ht="24.75" thickBot="1" x14ac:dyDescent="0.3">
      <c r="K304" s="631">
        <v>3</v>
      </c>
      <c r="L304" s="656" t="s">
        <v>682</v>
      </c>
      <c r="M304" s="779"/>
      <c r="N304" s="775"/>
      <c r="O304" s="775"/>
      <c r="P304" s="779"/>
      <c r="Q304" s="775"/>
      <c r="R304" s="775"/>
      <c r="S304" s="775"/>
      <c r="T304" s="775"/>
      <c r="U304" s="775"/>
      <c r="V304" s="775"/>
      <c r="W304" s="775">
        <v>160</v>
      </c>
      <c r="X304" s="779">
        <v>160</v>
      </c>
      <c r="Y304" s="779"/>
      <c r="Z304" s="779">
        <v>6</v>
      </c>
      <c r="AA304" s="784"/>
      <c r="AB304" s="784"/>
      <c r="AC304" s="784"/>
      <c r="AD304" s="784"/>
      <c r="AE304" s="784"/>
      <c r="AF304" s="784"/>
      <c r="AG304" s="784"/>
      <c r="AH304" s="784"/>
      <c r="AI304" s="784"/>
      <c r="AJ304" s="784"/>
      <c r="AK304" s="784"/>
      <c r="AL304" s="785"/>
      <c r="AM304" s="784"/>
      <c r="AN304" s="784"/>
      <c r="AO304" s="638">
        <v>160</v>
      </c>
      <c r="AP304" s="638">
        <v>0</v>
      </c>
      <c r="AQ304" s="638">
        <v>160</v>
      </c>
      <c r="AR304" s="638">
        <v>6</v>
      </c>
      <c r="AS304" s="634" t="s">
        <v>99</v>
      </c>
    </row>
    <row r="305" spans="11:45" ht="24.75" thickBot="1" x14ac:dyDescent="0.3">
      <c r="K305" s="631">
        <v>4</v>
      </c>
      <c r="L305" s="656" t="s">
        <v>683</v>
      </c>
      <c r="M305" s="779"/>
      <c r="N305" s="775"/>
      <c r="O305" s="775"/>
      <c r="P305" s="779"/>
      <c r="Q305" s="775"/>
      <c r="R305" s="775"/>
      <c r="S305" s="775"/>
      <c r="T305" s="775"/>
      <c r="U305" s="775"/>
      <c r="V305" s="775"/>
      <c r="W305" s="775"/>
      <c r="X305" s="779"/>
      <c r="Y305" s="779"/>
      <c r="Z305" s="779"/>
      <c r="AA305" s="784"/>
      <c r="AB305" s="784"/>
      <c r="AC305" s="784"/>
      <c r="AD305" s="784"/>
      <c r="AE305" s="784"/>
      <c r="AF305" s="784"/>
      <c r="AG305" s="784"/>
      <c r="AH305" s="784"/>
      <c r="AI305" s="784"/>
      <c r="AJ305" s="784"/>
      <c r="AK305" s="784">
        <v>160</v>
      </c>
      <c r="AL305" s="785">
        <v>160</v>
      </c>
      <c r="AM305" s="784"/>
      <c r="AN305" s="784">
        <v>6</v>
      </c>
      <c r="AO305" s="638">
        <v>160</v>
      </c>
      <c r="AP305" s="638">
        <v>0</v>
      </c>
      <c r="AQ305" s="638">
        <v>160</v>
      </c>
      <c r="AR305" s="638">
        <v>6</v>
      </c>
      <c r="AS305" s="634" t="s">
        <v>99</v>
      </c>
    </row>
    <row r="306" spans="11:45" ht="39" thickBot="1" x14ac:dyDescent="0.3">
      <c r="K306" s="766" t="s">
        <v>498</v>
      </c>
      <c r="L306" s="584" t="s">
        <v>715</v>
      </c>
      <c r="M306" s="779"/>
      <c r="N306" s="775"/>
      <c r="O306" s="775">
        <v>40</v>
      </c>
      <c r="P306" s="779"/>
      <c r="Q306" s="775"/>
      <c r="R306" s="775"/>
      <c r="S306" s="775"/>
      <c r="T306" s="775"/>
      <c r="U306" s="775"/>
      <c r="V306" s="775"/>
      <c r="W306" s="775"/>
      <c r="X306" s="779">
        <v>40</v>
      </c>
      <c r="Y306" s="779">
        <v>10</v>
      </c>
      <c r="Z306" s="779">
        <v>2</v>
      </c>
      <c r="AA306" s="784"/>
      <c r="AB306" s="784"/>
      <c r="AC306" s="784"/>
      <c r="AD306" s="784"/>
      <c r="AE306" s="784"/>
      <c r="AF306" s="784"/>
      <c r="AG306" s="784"/>
      <c r="AH306" s="784"/>
      <c r="AI306" s="784"/>
      <c r="AJ306" s="784"/>
      <c r="AK306" s="784"/>
      <c r="AL306" s="785"/>
      <c r="AM306" s="784"/>
      <c r="AN306" s="784"/>
      <c r="AO306" s="638">
        <v>40</v>
      </c>
      <c r="AP306" s="638">
        <v>10</v>
      </c>
      <c r="AQ306" s="638">
        <v>50</v>
      </c>
      <c r="AR306" s="638">
        <v>2</v>
      </c>
      <c r="AS306" s="634" t="s">
        <v>99</v>
      </c>
    </row>
    <row r="307" spans="11:45" ht="51.75" thickBot="1" x14ac:dyDescent="0.3">
      <c r="K307" s="766" t="s">
        <v>499</v>
      </c>
      <c r="L307" s="585" t="s">
        <v>716</v>
      </c>
      <c r="M307" s="779"/>
      <c r="N307" s="775"/>
      <c r="O307" s="775">
        <v>40</v>
      </c>
      <c r="P307" s="779"/>
      <c r="Q307" s="775"/>
      <c r="R307" s="775"/>
      <c r="S307" s="775"/>
      <c r="T307" s="775"/>
      <c r="U307" s="775"/>
      <c r="V307" s="775"/>
      <c r="W307" s="775"/>
      <c r="X307" s="779">
        <v>40</v>
      </c>
      <c r="Y307" s="779">
        <v>10</v>
      </c>
      <c r="Z307" s="779">
        <v>2</v>
      </c>
      <c r="AA307" s="784"/>
      <c r="AB307" s="784"/>
      <c r="AC307" s="784"/>
      <c r="AD307" s="784"/>
      <c r="AE307" s="784"/>
      <c r="AF307" s="784"/>
      <c r="AG307" s="784"/>
      <c r="AH307" s="784"/>
      <c r="AI307" s="784"/>
      <c r="AJ307" s="784"/>
      <c r="AK307" s="784"/>
      <c r="AL307" s="785"/>
      <c r="AM307" s="784"/>
      <c r="AN307" s="784"/>
      <c r="AO307" s="638">
        <v>40</v>
      </c>
      <c r="AP307" s="638">
        <v>10</v>
      </c>
      <c r="AQ307" s="638">
        <v>50</v>
      </c>
      <c r="AR307" s="638">
        <v>2</v>
      </c>
      <c r="AS307" s="634" t="s">
        <v>99</v>
      </c>
    </row>
    <row r="308" spans="11:45" ht="26.25" thickBot="1" x14ac:dyDescent="0.3">
      <c r="K308" s="631">
        <v>6</v>
      </c>
      <c r="L308" s="849" t="s">
        <v>657</v>
      </c>
      <c r="M308" s="782">
        <v>20</v>
      </c>
      <c r="N308" s="775"/>
      <c r="O308" s="775">
        <v>40</v>
      </c>
      <c r="P308" s="779"/>
      <c r="Q308" s="775"/>
      <c r="R308" s="775"/>
      <c r="S308" s="775"/>
      <c r="T308" s="775"/>
      <c r="U308" s="775"/>
      <c r="V308" s="775"/>
      <c r="W308" s="775"/>
      <c r="X308" s="779">
        <v>60</v>
      </c>
      <c r="Y308" s="779">
        <v>15</v>
      </c>
      <c r="Z308" s="779">
        <v>3</v>
      </c>
      <c r="AA308" s="784"/>
      <c r="AB308" s="784"/>
      <c r="AC308" s="784"/>
      <c r="AD308" s="784"/>
      <c r="AE308" s="784"/>
      <c r="AF308" s="784"/>
      <c r="AG308" s="784"/>
      <c r="AH308" s="784"/>
      <c r="AI308" s="784"/>
      <c r="AJ308" s="784"/>
      <c r="AK308" s="784"/>
      <c r="AL308" s="785"/>
      <c r="AM308" s="784"/>
      <c r="AN308" s="784"/>
      <c r="AO308" s="638">
        <v>60</v>
      </c>
      <c r="AP308" s="638">
        <v>15</v>
      </c>
      <c r="AQ308" s="638">
        <v>75</v>
      </c>
      <c r="AR308" s="638">
        <v>3</v>
      </c>
      <c r="AS308" s="634" t="s">
        <v>99</v>
      </c>
    </row>
    <row r="309" spans="11:45" ht="39" thickBot="1" x14ac:dyDescent="0.3">
      <c r="K309" s="631">
        <v>7</v>
      </c>
      <c r="L309" s="641" t="s">
        <v>717</v>
      </c>
      <c r="M309" s="782"/>
      <c r="N309" s="775"/>
      <c r="O309" s="775"/>
      <c r="P309" s="779"/>
      <c r="Q309" s="775"/>
      <c r="R309" s="775"/>
      <c r="S309" s="775"/>
      <c r="T309" s="775"/>
      <c r="U309" s="775"/>
      <c r="V309" s="775"/>
      <c r="W309" s="775"/>
      <c r="X309" s="779"/>
      <c r="Y309" s="779"/>
      <c r="Z309" s="779"/>
      <c r="AA309" s="784">
        <v>20</v>
      </c>
      <c r="AB309" s="784"/>
      <c r="AC309" s="784">
        <v>40</v>
      </c>
      <c r="AD309" s="784"/>
      <c r="AE309" s="784"/>
      <c r="AF309" s="784"/>
      <c r="AG309" s="784"/>
      <c r="AH309" s="784"/>
      <c r="AI309" s="784"/>
      <c r="AJ309" s="784"/>
      <c r="AK309" s="784"/>
      <c r="AL309" s="785">
        <v>60</v>
      </c>
      <c r="AM309" s="784">
        <v>40</v>
      </c>
      <c r="AN309" s="784">
        <v>4</v>
      </c>
      <c r="AO309" s="638">
        <v>60</v>
      </c>
      <c r="AP309" s="638">
        <v>40</v>
      </c>
      <c r="AQ309" s="638">
        <v>100</v>
      </c>
      <c r="AR309" s="638">
        <v>4</v>
      </c>
      <c r="AS309" s="634" t="s">
        <v>99</v>
      </c>
    </row>
    <row r="310" spans="11:45" ht="15.75" thickBot="1" x14ac:dyDescent="0.3">
      <c r="K310" s="631">
        <v>8</v>
      </c>
      <c r="L310" s="639" t="s">
        <v>666</v>
      </c>
      <c r="M310" s="779"/>
      <c r="N310" s="775">
        <v>60</v>
      </c>
      <c r="O310" s="775"/>
      <c r="P310" s="779"/>
      <c r="Q310" s="775"/>
      <c r="R310" s="775"/>
      <c r="S310" s="775"/>
      <c r="T310" s="775"/>
      <c r="U310" s="775"/>
      <c r="V310" s="775"/>
      <c r="W310" s="775"/>
      <c r="X310" s="779">
        <v>60</v>
      </c>
      <c r="Y310" s="781">
        <v>65</v>
      </c>
      <c r="Z310" s="780">
        <v>5</v>
      </c>
      <c r="AA310" s="787"/>
      <c r="AB310" s="784">
        <v>60</v>
      </c>
      <c r="AC310" s="784"/>
      <c r="AD310" s="784"/>
      <c r="AE310" s="784"/>
      <c r="AF310" s="784"/>
      <c r="AG310" s="784"/>
      <c r="AH310" s="784"/>
      <c r="AI310" s="784"/>
      <c r="AJ310" s="784"/>
      <c r="AK310" s="784"/>
      <c r="AL310" s="785">
        <v>60</v>
      </c>
      <c r="AM310" s="789">
        <v>65</v>
      </c>
      <c r="AN310" s="787">
        <v>5</v>
      </c>
      <c r="AO310" s="638">
        <v>120</v>
      </c>
      <c r="AP310" s="638">
        <v>130</v>
      </c>
      <c r="AQ310" s="638">
        <v>250</v>
      </c>
      <c r="AR310" s="638">
        <v>10</v>
      </c>
      <c r="AS310" s="634" t="s">
        <v>99</v>
      </c>
    </row>
    <row r="311" spans="11:45" ht="15.75" thickBot="1" x14ac:dyDescent="0.3">
      <c r="K311" s="637" t="s">
        <v>498</v>
      </c>
      <c r="L311" s="767" t="s">
        <v>475</v>
      </c>
      <c r="M311" s="779">
        <v>10</v>
      </c>
      <c r="N311" s="779">
        <v>10</v>
      </c>
      <c r="O311" s="775"/>
      <c r="P311" s="779">
        <v>10</v>
      </c>
      <c r="Q311" s="775"/>
      <c r="R311" s="775"/>
      <c r="S311" s="779">
        <v>30</v>
      </c>
      <c r="T311" s="775"/>
      <c r="U311" s="775"/>
      <c r="V311" s="775"/>
      <c r="W311" s="775"/>
      <c r="X311" s="779">
        <v>60</v>
      </c>
      <c r="Y311" s="779">
        <v>15</v>
      </c>
      <c r="Z311" s="779">
        <v>3</v>
      </c>
      <c r="AA311" s="784"/>
      <c r="AB311" s="784"/>
      <c r="AC311" s="784"/>
      <c r="AD311" s="784"/>
      <c r="AE311" s="784"/>
      <c r="AF311" s="784"/>
      <c r="AG311" s="784"/>
      <c r="AH311" s="784"/>
      <c r="AI311" s="784"/>
      <c r="AJ311" s="784"/>
      <c r="AK311" s="784"/>
      <c r="AL311" s="785"/>
      <c r="AM311" s="784"/>
      <c r="AN311" s="784"/>
      <c r="AO311" s="638">
        <v>60</v>
      </c>
      <c r="AP311" s="638">
        <v>15</v>
      </c>
      <c r="AQ311" s="638">
        <v>75</v>
      </c>
      <c r="AR311" s="638">
        <v>3</v>
      </c>
      <c r="AS311" s="634" t="s">
        <v>56</v>
      </c>
    </row>
    <row r="312" spans="11:45" ht="15.75" thickBot="1" x14ac:dyDescent="0.3">
      <c r="K312" s="637" t="s">
        <v>498</v>
      </c>
      <c r="L312" s="767" t="s">
        <v>474</v>
      </c>
      <c r="M312" s="779">
        <v>15</v>
      </c>
      <c r="N312" s="775"/>
      <c r="O312" s="775"/>
      <c r="P312" s="779">
        <v>20</v>
      </c>
      <c r="Q312" s="775"/>
      <c r="R312" s="775"/>
      <c r="S312" s="775"/>
      <c r="T312" s="775"/>
      <c r="U312" s="775"/>
      <c r="V312" s="775"/>
      <c r="W312" s="775"/>
      <c r="X312" s="779">
        <v>35</v>
      </c>
      <c r="Y312" s="779">
        <v>15</v>
      </c>
      <c r="Z312" s="779">
        <v>2</v>
      </c>
      <c r="AA312" s="784"/>
      <c r="AB312" s="784"/>
      <c r="AC312" s="784"/>
      <c r="AD312" s="784"/>
      <c r="AE312" s="784"/>
      <c r="AF312" s="784"/>
      <c r="AG312" s="784"/>
      <c r="AH312" s="784"/>
      <c r="AI312" s="784"/>
      <c r="AJ312" s="784"/>
      <c r="AK312" s="784"/>
      <c r="AL312" s="785"/>
      <c r="AM312" s="784"/>
      <c r="AN312" s="784"/>
      <c r="AO312" s="638">
        <v>35</v>
      </c>
      <c r="AP312" s="638">
        <v>15</v>
      </c>
      <c r="AQ312" s="638">
        <v>50</v>
      </c>
      <c r="AR312" s="638">
        <v>2</v>
      </c>
      <c r="AS312" s="634" t="s">
        <v>99</v>
      </c>
    </row>
    <row r="313" spans="11:45" ht="15.75" thickBot="1" x14ac:dyDescent="0.3">
      <c r="K313" s="637" t="s">
        <v>498</v>
      </c>
      <c r="L313" s="767" t="s">
        <v>626</v>
      </c>
      <c r="M313" s="775"/>
      <c r="N313" s="775"/>
      <c r="O313" s="775"/>
      <c r="P313" s="775"/>
      <c r="Q313" s="775"/>
      <c r="R313" s="775"/>
      <c r="S313" s="775"/>
      <c r="T313" s="775"/>
      <c r="U313" s="775"/>
      <c r="V313" s="775"/>
      <c r="W313" s="775"/>
      <c r="X313" s="776"/>
      <c r="Y313" s="775"/>
      <c r="Z313" s="775"/>
      <c r="AA313" s="785">
        <v>15</v>
      </c>
      <c r="AB313" s="784"/>
      <c r="AC313" s="784"/>
      <c r="AD313" s="785">
        <v>30</v>
      </c>
      <c r="AE313" s="784"/>
      <c r="AF313" s="784"/>
      <c r="AG313" s="784"/>
      <c r="AH313" s="784"/>
      <c r="AI313" s="784"/>
      <c r="AJ313" s="784"/>
      <c r="AK313" s="784"/>
      <c r="AL313" s="785">
        <v>45</v>
      </c>
      <c r="AM313" s="785">
        <v>5</v>
      </c>
      <c r="AN313" s="785">
        <v>2</v>
      </c>
      <c r="AO313" s="638">
        <v>45</v>
      </c>
      <c r="AP313" s="638">
        <v>5</v>
      </c>
      <c r="AQ313" s="638">
        <v>50</v>
      </c>
      <c r="AR313" s="638">
        <v>2</v>
      </c>
      <c r="AS313" s="634" t="s">
        <v>99</v>
      </c>
    </row>
    <row r="314" spans="11:45" ht="15.75" thickBot="1" x14ac:dyDescent="0.3">
      <c r="K314" s="637" t="s">
        <v>498</v>
      </c>
      <c r="L314" s="767" t="s">
        <v>625</v>
      </c>
      <c r="M314" s="779">
        <v>30</v>
      </c>
      <c r="N314" s="775"/>
      <c r="O314" s="779">
        <v>20</v>
      </c>
      <c r="P314" s="775"/>
      <c r="Q314" s="775"/>
      <c r="R314" s="775"/>
      <c r="S314" s="775"/>
      <c r="T314" s="775"/>
      <c r="U314" s="775"/>
      <c r="V314" s="775"/>
      <c r="W314" s="775"/>
      <c r="X314" s="779">
        <v>50</v>
      </c>
      <c r="Y314" s="779">
        <v>25</v>
      </c>
      <c r="Z314" s="779">
        <v>3</v>
      </c>
      <c r="AA314" s="784"/>
      <c r="AB314" s="784"/>
      <c r="AC314" s="784"/>
      <c r="AD314" s="784"/>
      <c r="AE314" s="784"/>
      <c r="AF314" s="784"/>
      <c r="AG314" s="784"/>
      <c r="AH314" s="784"/>
      <c r="AI314" s="784"/>
      <c r="AJ314" s="784"/>
      <c r="AK314" s="784"/>
      <c r="AL314" s="788"/>
      <c r="AM314" s="784"/>
      <c r="AN314" s="784"/>
      <c r="AO314" s="638">
        <v>50</v>
      </c>
      <c r="AP314" s="638">
        <v>25</v>
      </c>
      <c r="AQ314" s="638">
        <v>75</v>
      </c>
      <c r="AR314" s="638">
        <v>3</v>
      </c>
      <c r="AS314" s="634" t="s">
        <v>56</v>
      </c>
    </row>
    <row r="315" spans="11:45" ht="15.75" thickBot="1" x14ac:dyDescent="0.3">
      <c r="K315" s="637" t="s">
        <v>498</v>
      </c>
      <c r="L315" s="767" t="s">
        <v>483</v>
      </c>
      <c r="M315" s="775"/>
      <c r="N315" s="775"/>
      <c r="O315" s="775"/>
      <c r="P315" s="775"/>
      <c r="Q315" s="775"/>
      <c r="R315" s="775"/>
      <c r="S315" s="775"/>
      <c r="T315" s="775"/>
      <c r="U315" s="775"/>
      <c r="V315" s="775"/>
      <c r="W315" s="775"/>
      <c r="X315" s="779"/>
      <c r="Y315" s="777"/>
      <c r="Z315" s="778"/>
      <c r="AA315" s="783">
        <v>15</v>
      </c>
      <c r="AB315" s="784"/>
      <c r="AC315" s="785">
        <v>30</v>
      </c>
      <c r="AD315" s="784"/>
      <c r="AE315" s="784"/>
      <c r="AF315" s="784"/>
      <c r="AG315" s="784"/>
      <c r="AH315" s="784"/>
      <c r="AI315" s="784"/>
      <c r="AJ315" s="784"/>
      <c r="AK315" s="784"/>
      <c r="AL315" s="785">
        <v>45</v>
      </c>
      <c r="AM315" s="785">
        <v>30</v>
      </c>
      <c r="AN315" s="785">
        <v>3</v>
      </c>
      <c r="AO315" s="638">
        <v>45</v>
      </c>
      <c r="AP315" s="638">
        <v>30</v>
      </c>
      <c r="AQ315" s="638">
        <v>75</v>
      </c>
      <c r="AR315" s="638">
        <v>3</v>
      </c>
      <c r="AS315" s="634" t="s">
        <v>56</v>
      </c>
    </row>
    <row r="316" spans="11:45" ht="15.75" thickBot="1" x14ac:dyDescent="0.3">
      <c r="K316" s="637" t="s">
        <v>498</v>
      </c>
      <c r="L316" s="767" t="s">
        <v>479</v>
      </c>
      <c r="M316" s="775"/>
      <c r="N316" s="775"/>
      <c r="O316" s="775"/>
      <c r="P316" s="775"/>
      <c r="Q316" s="775"/>
      <c r="R316" s="775"/>
      <c r="S316" s="775"/>
      <c r="T316" s="775"/>
      <c r="U316" s="775"/>
      <c r="V316" s="775"/>
      <c r="W316" s="775"/>
      <c r="X316" s="779"/>
      <c r="Y316" s="775"/>
      <c r="Z316" s="775"/>
      <c r="AA316" s="785">
        <v>15</v>
      </c>
      <c r="AB316" s="784"/>
      <c r="AC316" s="785">
        <v>30</v>
      </c>
      <c r="AD316" s="784"/>
      <c r="AE316" s="784"/>
      <c r="AF316" s="784"/>
      <c r="AG316" s="785">
        <v>30</v>
      </c>
      <c r="AH316" s="784"/>
      <c r="AI316" s="784"/>
      <c r="AJ316" s="784"/>
      <c r="AK316" s="784"/>
      <c r="AL316" s="785">
        <v>75</v>
      </c>
      <c r="AM316" s="785">
        <v>75</v>
      </c>
      <c r="AN316" s="785">
        <v>6</v>
      </c>
      <c r="AO316" s="638">
        <v>75</v>
      </c>
      <c r="AP316" s="638">
        <v>75</v>
      </c>
      <c r="AQ316" s="638">
        <v>150</v>
      </c>
      <c r="AR316" s="638">
        <v>6</v>
      </c>
      <c r="AS316" s="634" t="s">
        <v>56</v>
      </c>
    </row>
    <row r="317" spans="11:45" ht="24.75" thickBot="1" x14ac:dyDescent="0.3">
      <c r="K317" s="637" t="s">
        <v>498</v>
      </c>
      <c r="L317" s="767" t="s">
        <v>677</v>
      </c>
      <c r="M317" s="775"/>
      <c r="N317" s="775"/>
      <c r="O317" s="779">
        <v>30</v>
      </c>
      <c r="P317" s="775"/>
      <c r="Q317" s="775"/>
      <c r="R317" s="775"/>
      <c r="S317" s="779">
        <v>30</v>
      </c>
      <c r="T317" s="775"/>
      <c r="U317" s="775"/>
      <c r="V317" s="775"/>
      <c r="W317" s="775"/>
      <c r="X317" s="779">
        <v>60</v>
      </c>
      <c r="Y317" s="781">
        <v>40</v>
      </c>
      <c r="Z317" s="780">
        <v>4</v>
      </c>
      <c r="AA317" s="787"/>
      <c r="AB317" s="784"/>
      <c r="AC317" s="784"/>
      <c r="AD317" s="784"/>
      <c r="AE317" s="784"/>
      <c r="AF317" s="784"/>
      <c r="AG317" s="784"/>
      <c r="AH317" s="784"/>
      <c r="AI317" s="784"/>
      <c r="AJ317" s="784"/>
      <c r="AK317" s="784"/>
      <c r="AL317" s="785"/>
      <c r="AM317" s="784"/>
      <c r="AN317" s="784"/>
      <c r="AO317" s="638">
        <v>60</v>
      </c>
      <c r="AP317" s="638">
        <v>40</v>
      </c>
      <c r="AQ317" s="638">
        <v>100</v>
      </c>
      <c r="AR317" s="638">
        <v>4</v>
      </c>
      <c r="AS317" s="634" t="s">
        <v>56</v>
      </c>
    </row>
    <row r="318" spans="11:45" ht="15.75" thickBot="1" x14ac:dyDescent="0.3">
      <c r="K318" s="768" t="s">
        <v>499</v>
      </c>
      <c r="L318" s="769" t="s">
        <v>477</v>
      </c>
      <c r="M318" s="797"/>
      <c r="N318" s="798">
        <v>20</v>
      </c>
      <c r="O318" s="797"/>
      <c r="P318" s="798">
        <v>15</v>
      </c>
      <c r="Q318" s="797"/>
      <c r="R318" s="797"/>
      <c r="S318" s="797"/>
      <c r="T318" s="797"/>
      <c r="U318" s="797"/>
      <c r="V318" s="797"/>
      <c r="W318" s="797"/>
      <c r="X318" s="798">
        <v>35</v>
      </c>
      <c r="Y318" s="799">
        <v>15</v>
      </c>
      <c r="Z318" s="800">
        <v>2</v>
      </c>
      <c r="AA318" s="810"/>
      <c r="AB318" s="791"/>
      <c r="AC318" s="791"/>
      <c r="AD318" s="791"/>
      <c r="AE318" s="791"/>
      <c r="AF318" s="791"/>
      <c r="AG318" s="791"/>
      <c r="AH318" s="791"/>
      <c r="AI318" s="791"/>
      <c r="AJ318" s="791"/>
      <c r="AK318" s="791"/>
      <c r="AL318" s="792"/>
      <c r="AM318" s="811"/>
      <c r="AN318" s="810"/>
      <c r="AO318" s="770">
        <v>35</v>
      </c>
      <c r="AP318" s="770">
        <v>15</v>
      </c>
      <c r="AQ318" s="770">
        <v>50</v>
      </c>
      <c r="AR318" s="770">
        <v>2</v>
      </c>
      <c r="AS318" s="644" t="s">
        <v>99</v>
      </c>
    </row>
    <row r="319" spans="11:45" ht="15.75" thickBot="1" x14ac:dyDescent="0.3">
      <c r="K319" s="653" t="s">
        <v>499</v>
      </c>
      <c r="L319" s="771" t="s">
        <v>527</v>
      </c>
      <c r="M319" s="801">
        <v>5</v>
      </c>
      <c r="N319" s="802"/>
      <c r="O319" s="802"/>
      <c r="P319" s="801">
        <v>40</v>
      </c>
      <c r="Q319" s="802"/>
      <c r="R319" s="802"/>
      <c r="S319" s="802"/>
      <c r="T319" s="802"/>
      <c r="U319" s="802"/>
      <c r="V319" s="802"/>
      <c r="W319" s="802"/>
      <c r="X319" s="801">
        <v>45</v>
      </c>
      <c r="Y319" s="803">
        <v>30</v>
      </c>
      <c r="Z319" s="804">
        <v>3</v>
      </c>
      <c r="AA319" s="794"/>
      <c r="AB319" s="795"/>
      <c r="AC319" s="795"/>
      <c r="AD319" s="795"/>
      <c r="AE319" s="795"/>
      <c r="AF319" s="795"/>
      <c r="AG319" s="795"/>
      <c r="AH319" s="795"/>
      <c r="AI319" s="795"/>
      <c r="AJ319" s="795"/>
      <c r="AK319" s="795"/>
      <c r="AL319" s="812"/>
      <c r="AM319" s="795"/>
      <c r="AN319" s="795"/>
      <c r="AO319" s="772">
        <v>45</v>
      </c>
      <c r="AP319" s="772">
        <v>30</v>
      </c>
      <c r="AQ319" s="772">
        <v>75</v>
      </c>
      <c r="AR319" s="772">
        <v>3</v>
      </c>
      <c r="AS319" s="654" t="s">
        <v>99</v>
      </c>
    </row>
    <row r="320" spans="11:45" ht="15.75" thickBot="1" x14ac:dyDescent="0.3">
      <c r="K320" s="637" t="s">
        <v>499</v>
      </c>
      <c r="L320" s="773" t="s">
        <v>481</v>
      </c>
      <c r="M320" s="775"/>
      <c r="N320" s="775"/>
      <c r="O320" s="775"/>
      <c r="P320" s="775"/>
      <c r="Q320" s="775"/>
      <c r="R320" s="775"/>
      <c r="S320" s="775"/>
      <c r="T320" s="775"/>
      <c r="U320" s="775"/>
      <c r="V320" s="775"/>
      <c r="W320" s="775"/>
      <c r="X320" s="776"/>
      <c r="Y320" s="775"/>
      <c r="Z320" s="775"/>
      <c r="AA320" s="785">
        <v>15</v>
      </c>
      <c r="AB320" s="785">
        <v>30</v>
      </c>
      <c r="AC320" s="784"/>
      <c r="AD320" s="784"/>
      <c r="AE320" s="784"/>
      <c r="AF320" s="784"/>
      <c r="AG320" s="784"/>
      <c r="AH320" s="784"/>
      <c r="AI320" s="784"/>
      <c r="AJ320" s="784"/>
      <c r="AK320" s="784"/>
      <c r="AL320" s="785">
        <v>45</v>
      </c>
      <c r="AM320" s="785">
        <v>30</v>
      </c>
      <c r="AN320" s="785">
        <v>3</v>
      </c>
      <c r="AO320" s="638">
        <v>45</v>
      </c>
      <c r="AP320" s="638">
        <v>30</v>
      </c>
      <c r="AQ320" s="638">
        <v>75</v>
      </c>
      <c r="AR320" s="638">
        <v>3</v>
      </c>
      <c r="AS320" s="634" t="s">
        <v>56</v>
      </c>
    </row>
    <row r="321" spans="1:48" ht="15.75" thickBot="1" x14ac:dyDescent="0.3">
      <c r="K321" s="637" t="s">
        <v>499</v>
      </c>
      <c r="L321" s="773" t="s">
        <v>526</v>
      </c>
      <c r="M321" s="779">
        <v>30</v>
      </c>
      <c r="N321" s="775"/>
      <c r="O321" s="775"/>
      <c r="P321" s="779">
        <v>30</v>
      </c>
      <c r="Q321" s="775"/>
      <c r="R321" s="775"/>
      <c r="S321" s="775"/>
      <c r="T321" s="775"/>
      <c r="U321" s="775"/>
      <c r="V321" s="775"/>
      <c r="W321" s="775"/>
      <c r="X321" s="779">
        <v>60</v>
      </c>
      <c r="Y321" s="779">
        <v>15</v>
      </c>
      <c r="Z321" s="779">
        <v>3</v>
      </c>
      <c r="AA321" s="784"/>
      <c r="AB321" s="784"/>
      <c r="AC321" s="784"/>
      <c r="AD321" s="784"/>
      <c r="AE321" s="784"/>
      <c r="AF321" s="784"/>
      <c r="AG321" s="784"/>
      <c r="AH321" s="784"/>
      <c r="AI321" s="784"/>
      <c r="AJ321" s="784"/>
      <c r="AK321" s="784"/>
      <c r="AL321" s="788"/>
      <c r="AM321" s="784"/>
      <c r="AN321" s="784"/>
      <c r="AO321" s="638">
        <v>60</v>
      </c>
      <c r="AP321" s="638">
        <v>15</v>
      </c>
      <c r="AQ321" s="638">
        <v>75</v>
      </c>
      <c r="AR321" s="638">
        <v>3</v>
      </c>
      <c r="AS321" s="634" t="s">
        <v>56</v>
      </c>
    </row>
    <row r="322" spans="1:48" ht="15.75" thickBot="1" x14ac:dyDescent="0.3">
      <c r="K322" s="637" t="s">
        <v>499</v>
      </c>
      <c r="L322" s="773" t="s">
        <v>702</v>
      </c>
      <c r="M322" s="775"/>
      <c r="N322" s="775"/>
      <c r="O322" s="775"/>
      <c r="P322" s="775"/>
      <c r="Q322" s="775"/>
      <c r="R322" s="775"/>
      <c r="S322" s="775"/>
      <c r="T322" s="775"/>
      <c r="U322" s="775"/>
      <c r="V322" s="775"/>
      <c r="W322" s="775"/>
      <c r="X322" s="805"/>
      <c r="Y322" s="777"/>
      <c r="Z322" s="778"/>
      <c r="AA322" s="783">
        <v>20</v>
      </c>
      <c r="AB322" s="784"/>
      <c r="AC322" s="785">
        <v>30</v>
      </c>
      <c r="AD322" s="784"/>
      <c r="AE322" s="784"/>
      <c r="AF322" s="784"/>
      <c r="AG322" s="784"/>
      <c r="AH322" s="784"/>
      <c r="AI322" s="784"/>
      <c r="AJ322" s="784"/>
      <c r="AK322" s="784"/>
      <c r="AL322" s="792">
        <v>50</v>
      </c>
      <c r="AM322" s="785">
        <v>50</v>
      </c>
      <c r="AN322" s="785">
        <v>4</v>
      </c>
      <c r="AO322" s="770">
        <v>50</v>
      </c>
      <c r="AP322" s="770">
        <v>50</v>
      </c>
      <c r="AQ322" s="770">
        <v>100</v>
      </c>
      <c r="AR322" s="770">
        <v>4</v>
      </c>
      <c r="AS322" s="634" t="s">
        <v>56</v>
      </c>
    </row>
    <row r="323" spans="1:48" ht="15.75" thickBot="1" x14ac:dyDescent="0.3">
      <c r="K323" s="768" t="s">
        <v>499</v>
      </c>
      <c r="L323" s="773" t="s">
        <v>476</v>
      </c>
      <c r="M323" s="798">
        <v>30</v>
      </c>
      <c r="N323" s="797"/>
      <c r="O323" s="797"/>
      <c r="P323" s="797"/>
      <c r="Q323" s="797"/>
      <c r="R323" s="797"/>
      <c r="S323" s="798">
        <v>40</v>
      </c>
      <c r="T323" s="797"/>
      <c r="U323" s="797"/>
      <c r="V323" s="797"/>
      <c r="W323" s="797"/>
      <c r="X323" s="806">
        <v>70</v>
      </c>
      <c r="Y323" s="799">
        <v>30</v>
      </c>
      <c r="Z323" s="800">
        <v>4</v>
      </c>
      <c r="AA323" s="810"/>
      <c r="AB323" s="791"/>
      <c r="AC323" s="791"/>
      <c r="AD323" s="791"/>
      <c r="AE323" s="791"/>
      <c r="AF323" s="791"/>
      <c r="AG323" s="791"/>
      <c r="AH323" s="791"/>
      <c r="AI323" s="791"/>
      <c r="AJ323" s="791"/>
      <c r="AK323" s="791"/>
      <c r="AL323" s="813"/>
      <c r="AM323" s="811"/>
      <c r="AN323" s="810"/>
      <c r="AO323" s="774">
        <v>70</v>
      </c>
      <c r="AP323" s="774">
        <v>30</v>
      </c>
      <c r="AQ323" s="774">
        <v>100</v>
      </c>
      <c r="AR323" s="774">
        <v>4</v>
      </c>
      <c r="AS323" s="644" t="s">
        <v>56</v>
      </c>
    </row>
    <row r="324" spans="1:48" ht="15.75" thickBot="1" x14ac:dyDescent="0.3">
      <c r="K324" s="653" t="s">
        <v>499</v>
      </c>
      <c r="L324" s="773" t="s">
        <v>480</v>
      </c>
      <c r="M324" s="802"/>
      <c r="N324" s="802"/>
      <c r="O324" s="802"/>
      <c r="P324" s="802"/>
      <c r="Q324" s="802"/>
      <c r="R324" s="802"/>
      <c r="S324" s="802"/>
      <c r="T324" s="802"/>
      <c r="U324" s="802"/>
      <c r="V324" s="802"/>
      <c r="W324" s="802"/>
      <c r="X324" s="807"/>
      <c r="Y324" s="808"/>
      <c r="Z324" s="809"/>
      <c r="AA324" s="814">
        <v>15</v>
      </c>
      <c r="AB324" s="795"/>
      <c r="AC324" s="795"/>
      <c r="AD324" s="812">
        <v>30</v>
      </c>
      <c r="AE324" s="795"/>
      <c r="AF324" s="795"/>
      <c r="AG324" s="812">
        <v>25</v>
      </c>
      <c r="AH324" s="795"/>
      <c r="AI324" s="795"/>
      <c r="AJ324" s="795"/>
      <c r="AK324" s="795"/>
      <c r="AL324" s="812">
        <v>70</v>
      </c>
      <c r="AM324" s="815">
        <v>30</v>
      </c>
      <c r="AN324" s="814">
        <v>4</v>
      </c>
      <c r="AO324" s="772">
        <v>70</v>
      </c>
      <c r="AP324" s="772">
        <v>30</v>
      </c>
      <c r="AQ324" s="772">
        <v>100</v>
      </c>
      <c r="AR324" s="772">
        <v>4</v>
      </c>
      <c r="AS324" s="654" t="s">
        <v>56</v>
      </c>
    </row>
    <row r="325" spans="1:48" ht="15.75" thickBot="1" x14ac:dyDescent="0.3">
      <c r="K325" s="1444" t="s">
        <v>628</v>
      </c>
      <c r="L325" s="1445"/>
      <c r="M325" s="816">
        <v>65</v>
      </c>
      <c r="N325" s="816">
        <v>70</v>
      </c>
      <c r="O325" s="816">
        <v>90</v>
      </c>
      <c r="P325" s="816">
        <v>40</v>
      </c>
      <c r="Q325" s="816">
        <v>0</v>
      </c>
      <c r="R325" s="816">
        <v>0</v>
      </c>
      <c r="S325" s="816">
        <v>60</v>
      </c>
      <c r="T325" s="816">
        <v>0</v>
      </c>
      <c r="U325" s="816">
        <v>0</v>
      </c>
      <c r="V325" s="816">
        <v>0</v>
      </c>
      <c r="W325" s="816">
        <v>160</v>
      </c>
      <c r="X325" s="816">
        <v>485</v>
      </c>
      <c r="Y325" s="816">
        <v>200</v>
      </c>
      <c r="Z325" s="817">
        <v>27</v>
      </c>
      <c r="AA325" s="818">
        <v>115</v>
      </c>
      <c r="AB325" s="816">
        <v>60</v>
      </c>
      <c r="AC325" s="816">
        <v>140</v>
      </c>
      <c r="AD325" s="816">
        <v>30</v>
      </c>
      <c r="AE325" s="816">
        <v>0</v>
      </c>
      <c r="AF325" s="816">
        <v>0</v>
      </c>
      <c r="AG325" s="816">
        <v>75</v>
      </c>
      <c r="AH325" s="816">
        <v>0</v>
      </c>
      <c r="AI325" s="816">
        <v>0</v>
      </c>
      <c r="AJ325" s="816">
        <v>0</v>
      </c>
      <c r="AK325" s="816">
        <v>160</v>
      </c>
      <c r="AL325" s="816">
        <v>580</v>
      </c>
      <c r="AM325" s="816">
        <v>255</v>
      </c>
      <c r="AN325" s="816">
        <v>33</v>
      </c>
      <c r="AO325" s="816">
        <v>1065</v>
      </c>
      <c r="AP325" s="816">
        <v>455</v>
      </c>
      <c r="AQ325" s="816">
        <v>1520</v>
      </c>
      <c r="AR325" s="816">
        <v>60</v>
      </c>
      <c r="AS325" s="819"/>
    </row>
    <row r="326" spans="1:48" ht="15.75" thickBot="1" x14ac:dyDescent="0.3">
      <c r="K326" s="1446" t="s">
        <v>629</v>
      </c>
      <c r="L326" s="1447"/>
      <c r="M326" s="703">
        <v>75</v>
      </c>
      <c r="N326" s="703">
        <v>80</v>
      </c>
      <c r="O326" s="703">
        <v>40</v>
      </c>
      <c r="P326" s="703">
        <v>95</v>
      </c>
      <c r="Q326" s="703">
        <v>0</v>
      </c>
      <c r="R326" s="703">
        <v>0</v>
      </c>
      <c r="S326" s="703">
        <v>40</v>
      </c>
      <c r="T326" s="703">
        <v>0</v>
      </c>
      <c r="U326" s="703">
        <v>0</v>
      </c>
      <c r="V326" s="703">
        <v>0</v>
      </c>
      <c r="W326" s="703">
        <v>160</v>
      </c>
      <c r="X326" s="703">
        <v>490</v>
      </c>
      <c r="Y326" s="703">
        <v>195</v>
      </c>
      <c r="Z326" s="820">
        <v>27</v>
      </c>
      <c r="AA326" s="700">
        <v>120</v>
      </c>
      <c r="AB326" s="703">
        <v>90</v>
      </c>
      <c r="AC326" s="703">
        <v>110</v>
      </c>
      <c r="AD326" s="703">
        <v>30</v>
      </c>
      <c r="AE326" s="703">
        <v>0</v>
      </c>
      <c r="AF326" s="703">
        <v>0</v>
      </c>
      <c r="AG326" s="703">
        <v>70</v>
      </c>
      <c r="AH326" s="703">
        <v>0</v>
      </c>
      <c r="AI326" s="703">
        <v>0</v>
      </c>
      <c r="AJ326" s="703">
        <v>0</v>
      </c>
      <c r="AK326" s="703">
        <v>160</v>
      </c>
      <c r="AL326" s="703">
        <v>580</v>
      </c>
      <c r="AM326" s="703">
        <v>255</v>
      </c>
      <c r="AN326" s="703">
        <v>33</v>
      </c>
      <c r="AO326" s="703">
        <v>1070</v>
      </c>
      <c r="AP326" s="703">
        <v>450</v>
      </c>
      <c r="AQ326" s="703">
        <v>1520</v>
      </c>
      <c r="AR326" s="703">
        <v>60</v>
      </c>
      <c r="AS326" s="702"/>
    </row>
    <row r="327" spans="1:48" s="846" customFormat="1" ht="15.75" thickBot="1" x14ac:dyDescent="0.3">
      <c r="A327" s="845"/>
      <c r="K327" s="1448" t="s">
        <v>628</v>
      </c>
      <c r="L327" s="1449"/>
      <c r="M327" s="847">
        <f>SUM(M302:M306,M308:M317)</f>
        <v>85</v>
      </c>
      <c r="N327" s="847">
        <f t="shared" ref="N327:AR327" si="13">SUM(N302:N306,N308:N317)</f>
        <v>70</v>
      </c>
      <c r="O327" s="847">
        <f t="shared" si="13"/>
        <v>130</v>
      </c>
      <c r="P327" s="847">
        <f t="shared" si="13"/>
        <v>40</v>
      </c>
      <c r="Q327" s="847">
        <f t="shared" si="13"/>
        <v>0</v>
      </c>
      <c r="R327" s="847">
        <f t="shared" si="13"/>
        <v>0</v>
      </c>
      <c r="S327" s="847">
        <f t="shared" si="13"/>
        <v>60</v>
      </c>
      <c r="T327" s="847">
        <f t="shared" si="13"/>
        <v>0</v>
      </c>
      <c r="U327" s="847">
        <f t="shared" si="13"/>
        <v>0</v>
      </c>
      <c r="V327" s="847">
        <f t="shared" si="13"/>
        <v>0</v>
      </c>
      <c r="W327" s="847">
        <f t="shared" si="13"/>
        <v>160</v>
      </c>
      <c r="X327" s="847">
        <f t="shared" si="13"/>
        <v>545</v>
      </c>
      <c r="Y327" s="847">
        <f t="shared" si="13"/>
        <v>215</v>
      </c>
      <c r="Z327" s="847">
        <f t="shared" si="13"/>
        <v>30</v>
      </c>
      <c r="AA327" s="847">
        <f t="shared" si="13"/>
        <v>95</v>
      </c>
      <c r="AB327" s="847">
        <f t="shared" si="13"/>
        <v>60</v>
      </c>
      <c r="AC327" s="847">
        <f t="shared" si="13"/>
        <v>100</v>
      </c>
      <c r="AD327" s="847">
        <f t="shared" si="13"/>
        <v>30</v>
      </c>
      <c r="AE327" s="847">
        <f t="shared" si="13"/>
        <v>0</v>
      </c>
      <c r="AF327" s="847">
        <f t="shared" si="13"/>
        <v>0</v>
      </c>
      <c r="AG327" s="847">
        <f t="shared" si="13"/>
        <v>75</v>
      </c>
      <c r="AH327" s="847">
        <f t="shared" si="13"/>
        <v>0</v>
      </c>
      <c r="AI327" s="847">
        <f t="shared" si="13"/>
        <v>0</v>
      </c>
      <c r="AJ327" s="847">
        <f t="shared" si="13"/>
        <v>0</v>
      </c>
      <c r="AK327" s="847">
        <f t="shared" si="13"/>
        <v>160</v>
      </c>
      <c r="AL327" s="847">
        <f t="shared" si="13"/>
        <v>520</v>
      </c>
      <c r="AM327" s="847">
        <f t="shared" si="13"/>
        <v>240</v>
      </c>
      <c r="AN327" s="847">
        <f t="shared" si="13"/>
        <v>30</v>
      </c>
      <c r="AO327" s="847">
        <f t="shared" si="13"/>
        <v>1065</v>
      </c>
      <c r="AP327" s="847">
        <f t="shared" si="13"/>
        <v>455</v>
      </c>
      <c r="AQ327" s="847">
        <f t="shared" si="13"/>
        <v>1520</v>
      </c>
      <c r="AR327" s="847">
        <f t="shared" si="13"/>
        <v>60</v>
      </c>
      <c r="AS327" s="847"/>
    </row>
    <row r="328" spans="1:48" s="846" customFormat="1" ht="15.75" thickBot="1" x14ac:dyDescent="0.3">
      <c r="A328" s="845"/>
      <c r="K328" s="1450" t="s">
        <v>629</v>
      </c>
      <c r="L328" s="1451"/>
      <c r="M328" s="848">
        <f>SUM(M302:M305,M307:M310,M318:M324)</f>
        <v>95</v>
      </c>
      <c r="N328" s="848">
        <f t="shared" ref="N328:AR328" si="14">SUM(N302:N305,N307:N310,N318:N324)</f>
        <v>80</v>
      </c>
      <c r="O328" s="848">
        <f t="shared" si="14"/>
        <v>80</v>
      </c>
      <c r="P328" s="848">
        <f t="shared" si="14"/>
        <v>95</v>
      </c>
      <c r="Q328" s="848">
        <f t="shared" si="14"/>
        <v>0</v>
      </c>
      <c r="R328" s="848">
        <f t="shared" si="14"/>
        <v>0</v>
      </c>
      <c r="S328" s="848">
        <f t="shared" si="14"/>
        <v>40</v>
      </c>
      <c r="T328" s="848">
        <f t="shared" si="14"/>
        <v>0</v>
      </c>
      <c r="U328" s="848">
        <f t="shared" si="14"/>
        <v>0</v>
      </c>
      <c r="V328" s="848">
        <f t="shared" si="14"/>
        <v>0</v>
      </c>
      <c r="W328" s="848">
        <f t="shared" si="14"/>
        <v>160</v>
      </c>
      <c r="X328" s="848">
        <f t="shared" si="14"/>
        <v>550</v>
      </c>
      <c r="Y328" s="848">
        <f t="shared" si="14"/>
        <v>210</v>
      </c>
      <c r="Z328" s="848">
        <f t="shared" si="14"/>
        <v>30</v>
      </c>
      <c r="AA328" s="848">
        <f t="shared" si="14"/>
        <v>100</v>
      </c>
      <c r="AB328" s="848">
        <f t="shared" si="14"/>
        <v>90</v>
      </c>
      <c r="AC328" s="848">
        <f t="shared" si="14"/>
        <v>70</v>
      </c>
      <c r="AD328" s="848">
        <f t="shared" si="14"/>
        <v>30</v>
      </c>
      <c r="AE328" s="848">
        <f t="shared" si="14"/>
        <v>0</v>
      </c>
      <c r="AF328" s="848">
        <f t="shared" si="14"/>
        <v>0</v>
      </c>
      <c r="AG328" s="848">
        <f t="shared" si="14"/>
        <v>70</v>
      </c>
      <c r="AH328" s="848">
        <f t="shared" si="14"/>
        <v>0</v>
      </c>
      <c r="AI328" s="848">
        <f t="shared" si="14"/>
        <v>0</v>
      </c>
      <c r="AJ328" s="848">
        <f t="shared" si="14"/>
        <v>0</v>
      </c>
      <c r="AK328" s="848">
        <f t="shared" si="14"/>
        <v>160</v>
      </c>
      <c r="AL328" s="848">
        <f t="shared" si="14"/>
        <v>520</v>
      </c>
      <c r="AM328" s="848">
        <f t="shared" si="14"/>
        <v>240</v>
      </c>
      <c r="AN328" s="848">
        <f t="shared" si="14"/>
        <v>30</v>
      </c>
      <c r="AO328" s="848">
        <f t="shared" si="14"/>
        <v>1070</v>
      </c>
      <c r="AP328" s="848">
        <f t="shared" si="14"/>
        <v>450</v>
      </c>
      <c r="AQ328" s="848">
        <f t="shared" si="14"/>
        <v>1520</v>
      </c>
      <c r="AR328" s="848">
        <f t="shared" si="14"/>
        <v>60</v>
      </c>
      <c r="AS328" s="848">
        <f>SUM(AS302:AS305,AS307:AS310,AS318:AS324)</f>
        <v>0</v>
      </c>
    </row>
    <row r="331" spans="1:48" ht="15.75" thickBot="1" x14ac:dyDescent="0.3"/>
    <row r="332" spans="1:48" ht="15.75" thickBot="1" x14ac:dyDescent="0.3">
      <c r="K332" s="1375" t="s">
        <v>638</v>
      </c>
      <c r="L332" s="1390" t="s">
        <v>2</v>
      </c>
      <c r="M332" s="1376" t="s">
        <v>688</v>
      </c>
      <c r="N332" s="1393"/>
      <c r="O332" s="1393"/>
      <c r="P332" s="1393"/>
      <c r="Q332" s="1393"/>
      <c r="R332" s="1393"/>
      <c r="S332" s="1393"/>
      <c r="T332" s="1393"/>
      <c r="U332" s="1393"/>
      <c r="V332" s="1393"/>
      <c r="W332" s="1393"/>
      <c r="X332" s="1393"/>
      <c r="Y332" s="1393"/>
      <c r="Z332" s="1377"/>
      <c r="AA332" s="1394" t="s">
        <v>689</v>
      </c>
      <c r="AB332" s="1395"/>
      <c r="AC332" s="1395"/>
      <c r="AD332" s="1395"/>
      <c r="AE332" s="1395"/>
      <c r="AF332" s="1395"/>
      <c r="AG332" s="1395"/>
      <c r="AH332" s="1395"/>
      <c r="AI332" s="1395"/>
      <c r="AJ332" s="1395"/>
      <c r="AK332" s="1395"/>
      <c r="AL332" s="1395"/>
      <c r="AM332" s="1395"/>
      <c r="AN332" s="1395"/>
      <c r="AO332" s="1452"/>
      <c r="AP332" s="1376" t="s">
        <v>28</v>
      </c>
      <c r="AQ332" s="1393"/>
      <c r="AR332" s="1393"/>
      <c r="AS332" s="1393"/>
      <c r="AT332" s="1398"/>
      <c r="AU332" s="1453"/>
      <c r="AV332" s="1454"/>
    </row>
    <row r="333" spans="1:48" ht="24" customHeight="1" thickBot="1" x14ac:dyDescent="0.3">
      <c r="K333" s="1373"/>
      <c r="L333" s="1391"/>
      <c r="M333" s="1429" t="s">
        <v>6</v>
      </c>
      <c r="N333" s="1429" t="s">
        <v>7</v>
      </c>
      <c r="O333" s="1429" t="s">
        <v>8</v>
      </c>
      <c r="P333" s="1429" t="s">
        <v>9</v>
      </c>
      <c r="Q333" s="1429" t="s">
        <v>691</v>
      </c>
      <c r="R333" s="1429" t="s">
        <v>10</v>
      </c>
      <c r="S333" s="1429" t="s">
        <v>11</v>
      </c>
      <c r="T333" s="1429" t="s">
        <v>14</v>
      </c>
      <c r="U333" s="1429" t="s">
        <v>15</v>
      </c>
      <c r="V333" s="1429" t="s">
        <v>54</v>
      </c>
      <c r="W333" s="1429" t="s">
        <v>16</v>
      </c>
      <c r="X333" s="1431" t="s">
        <v>692</v>
      </c>
      <c r="Y333" s="1431" t="s">
        <v>67</v>
      </c>
      <c r="Z333" s="1431" t="s">
        <v>19</v>
      </c>
      <c r="AA333" s="1433" t="s">
        <v>6</v>
      </c>
      <c r="AB333" s="1433" t="s">
        <v>7</v>
      </c>
      <c r="AC333" s="1433" t="s">
        <v>20</v>
      </c>
      <c r="AD333" s="1433" t="s">
        <v>9</v>
      </c>
      <c r="AE333" s="1433" t="s">
        <v>691</v>
      </c>
      <c r="AF333" s="1433" t="s">
        <v>10</v>
      </c>
      <c r="AG333" s="1435" t="s">
        <v>11</v>
      </c>
      <c r="AH333" s="1435" t="s">
        <v>14</v>
      </c>
      <c r="AI333" s="1435" t="s">
        <v>15</v>
      </c>
      <c r="AJ333" s="1435" t="s">
        <v>54</v>
      </c>
      <c r="AK333" s="1435" t="s">
        <v>16</v>
      </c>
      <c r="AL333" s="1435" t="s">
        <v>692</v>
      </c>
      <c r="AM333" s="1435" t="s">
        <v>67</v>
      </c>
      <c r="AN333" s="1435" t="s">
        <v>19</v>
      </c>
      <c r="AO333" s="1378" t="s">
        <v>69</v>
      </c>
      <c r="AP333" s="1379"/>
      <c r="AQ333" s="1379"/>
      <c r="AR333" s="1455"/>
      <c r="AS333" s="1456" t="s">
        <v>693</v>
      </c>
      <c r="AT333" s="1458" t="s">
        <v>690</v>
      </c>
      <c r="AU333" s="1410"/>
      <c r="AV333" s="821"/>
    </row>
    <row r="334" spans="1:48" ht="77.25" customHeight="1" thickBot="1" x14ac:dyDescent="0.3">
      <c r="K334" s="1374"/>
      <c r="L334" s="1392"/>
      <c r="M334" s="1430"/>
      <c r="N334" s="1430"/>
      <c r="O334" s="1430"/>
      <c r="P334" s="1430"/>
      <c r="Q334" s="1430"/>
      <c r="R334" s="1430"/>
      <c r="S334" s="1430"/>
      <c r="T334" s="1430"/>
      <c r="U334" s="1430"/>
      <c r="V334" s="1430"/>
      <c r="W334" s="1430"/>
      <c r="X334" s="1432"/>
      <c r="Y334" s="1432"/>
      <c r="Z334" s="1432"/>
      <c r="AA334" s="1434"/>
      <c r="AB334" s="1434"/>
      <c r="AC334" s="1434"/>
      <c r="AD334" s="1434"/>
      <c r="AE334" s="1434"/>
      <c r="AF334" s="1434"/>
      <c r="AG334" s="1436"/>
      <c r="AH334" s="1436"/>
      <c r="AI334" s="1436"/>
      <c r="AJ334" s="1436"/>
      <c r="AK334" s="1436"/>
      <c r="AL334" s="1436"/>
      <c r="AM334" s="1436"/>
      <c r="AN334" s="1436"/>
      <c r="AO334" s="1460" t="s">
        <v>72</v>
      </c>
      <c r="AP334" s="1461"/>
      <c r="AQ334" s="630" t="s">
        <v>68</v>
      </c>
      <c r="AR334" s="630" t="s">
        <v>71</v>
      </c>
      <c r="AS334" s="1457"/>
      <c r="AT334" s="1459"/>
      <c r="AU334" s="1411"/>
      <c r="AV334" s="821"/>
    </row>
    <row r="335" spans="1:48" ht="15.75" thickBot="1" x14ac:dyDescent="0.3">
      <c r="K335" s="631">
        <v>1</v>
      </c>
      <c r="L335" s="639" t="s">
        <v>484</v>
      </c>
      <c r="M335" s="779">
        <v>20</v>
      </c>
      <c r="N335" s="775"/>
      <c r="O335" s="779">
        <v>50</v>
      </c>
      <c r="P335" s="775"/>
      <c r="Q335" s="775"/>
      <c r="R335" s="775"/>
      <c r="S335" s="775"/>
      <c r="T335" s="775"/>
      <c r="U335" s="775"/>
      <c r="V335" s="775"/>
      <c r="W335" s="775"/>
      <c r="X335" s="779">
        <v>70</v>
      </c>
      <c r="Y335" s="781">
        <v>80</v>
      </c>
      <c r="Z335" s="780">
        <v>6</v>
      </c>
      <c r="AA335" s="787"/>
      <c r="AB335" s="784"/>
      <c r="AC335" s="784"/>
      <c r="AD335" s="784"/>
      <c r="AE335" s="784"/>
      <c r="AF335" s="784"/>
      <c r="AG335" s="784"/>
      <c r="AH335" s="784"/>
      <c r="AI335" s="784"/>
      <c r="AJ335" s="784"/>
      <c r="AK335" s="784"/>
      <c r="AL335" s="785"/>
      <c r="AM335" s="784"/>
      <c r="AN335" s="784"/>
      <c r="AO335" s="1462">
        <v>70</v>
      </c>
      <c r="AP335" s="1463"/>
      <c r="AQ335" s="638">
        <v>80</v>
      </c>
      <c r="AR335" s="638">
        <v>150</v>
      </c>
      <c r="AS335" s="638">
        <v>6</v>
      </c>
      <c r="AT335" s="1464" t="s">
        <v>99</v>
      </c>
      <c r="AU335" s="1465"/>
      <c r="AV335" s="821"/>
    </row>
    <row r="336" spans="1:48" ht="39" thickBot="1" x14ac:dyDescent="0.3">
      <c r="K336" s="766" t="s">
        <v>498</v>
      </c>
      <c r="L336" s="584" t="s">
        <v>718</v>
      </c>
      <c r="M336" s="779"/>
      <c r="N336" s="775"/>
      <c r="O336" s="779"/>
      <c r="P336" s="775"/>
      <c r="Q336" s="775"/>
      <c r="R336" s="775"/>
      <c r="S336" s="775"/>
      <c r="T336" s="775"/>
      <c r="U336" s="775"/>
      <c r="V336" s="775"/>
      <c r="W336" s="775"/>
      <c r="X336" s="779"/>
      <c r="Y336" s="781"/>
      <c r="Z336" s="780"/>
      <c r="AA336" s="787">
        <v>20</v>
      </c>
      <c r="AB336" s="784"/>
      <c r="AC336" s="784"/>
      <c r="AD336" s="784">
        <v>40</v>
      </c>
      <c r="AE336" s="784"/>
      <c r="AF336" s="784"/>
      <c r="AG336" s="784"/>
      <c r="AH336" s="784"/>
      <c r="AI336" s="784"/>
      <c r="AJ336" s="784"/>
      <c r="AK336" s="784"/>
      <c r="AL336" s="785">
        <v>60</v>
      </c>
      <c r="AM336" s="784">
        <v>40</v>
      </c>
      <c r="AN336" s="784">
        <v>4</v>
      </c>
      <c r="AO336" s="1462">
        <v>60</v>
      </c>
      <c r="AP336" s="1463"/>
      <c r="AQ336" s="638">
        <v>40</v>
      </c>
      <c r="AR336" s="638">
        <v>100</v>
      </c>
      <c r="AS336" s="638">
        <v>4</v>
      </c>
      <c r="AT336" s="1466" t="s">
        <v>99</v>
      </c>
      <c r="AU336" s="1467"/>
      <c r="AV336" s="821"/>
    </row>
    <row r="337" spans="11:48" ht="39" thickBot="1" x14ac:dyDescent="0.3">
      <c r="K337" s="766" t="s">
        <v>499</v>
      </c>
      <c r="L337" s="585" t="s">
        <v>719</v>
      </c>
      <c r="M337" s="779"/>
      <c r="N337" s="775"/>
      <c r="O337" s="779"/>
      <c r="P337" s="775"/>
      <c r="Q337" s="775"/>
      <c r="R337" s="775"/>
      <c r="S337" s="775"/>
      <c r="T337" s="775"/>
      <c r="U337" s="775"/>
      <c r="V337" s="775"/>
      <c r="W337" s="775"/>
      <c r="X337" s="779"/>
      <c r="Y337" s="781"/>
      <c r="Z337" s="780"/>
      <c r="AA337" s="787">
        <v>20</v>
      </c>
      <c r="AB337" s="784"/>
      <c r="AC337" s="784"/>
      <c r="AD337" s="784">
        <v>40</v>
      </c>
      <c r="AE337" s="784"/>
      <c r="AF337" s="784"/>
      <c r="AG337" s="784"/>
      <c r="AH337" s="784"/>
      <c r="AI337" s="784"/>
      <c r="AJ337" s="784"/>
      <c r="AK337" s="784"/>
      <c r="AL337" s="785">
        <v>60</v>
      </c>
      <c r="AM337" s="784">
        <v>40</v>
      </c>
      <c r="AN337" s="784">
        <v>4</v>
      </c>
      <c r="AO337" s="1462">
        <v>60</v>
      </c>
      <c r="AP337" s="1463"/>
      <c r="AQ337" s="638">
        <v>40</v>
      </c>
      <c r="AR337" s="638">
        <v>100</v>
      </c>
      <c r="AS337" s="638">
        <v>4</v>
      </c>
      <c r="AT337" s="1466" t="s">
        <v>99</v>
      </c>
      <c r="AU337" s="1467"/>
      <c r="AV337" s="821"/>
    </row>
    <row r="338" spans="11:48" ht="15.75" thickBot="1" x14ac:dyDescent="0.3">
      <c r="K338" s="631">
        <v>3</v>
      </c>
      <c r="L338" s="639" t="s">
        <v>488</v>
      </c>
      <c r="M338" s="779">
        <v>30</v>
      </c>
      <c r="N338" s="775"/>
      <c r="O338" s="775"/>
      <c r="P338" s="779">
        <v>40</v>
      </c>
      <c r="Q338" s="775"/>
      <c r="R338" s="775"/>
      <c r="S338" s="775"/>
      <c r="T338" s="775"/>
      <c r="U338" s="775"/>
      <c r="V338" s="775"/>
      <c r="W338" s="775"/>
      <c r="X338" s="779">
        <v>70</v>
      </c>
      <c r="Y338" s="781">
        <v>55</v>
      </c>
      <c r="Z338" s="780">
        <v>5</v>
      </c>
      <c r="AA338" s="787"/>
      <c r="AB338" s="784"/>
      <c r="AC338" s="784"/>
      <c r="AD338" s="784"/>
      <c r="AE338" s="784"/>
      <c r="AF338" s="784"/>
      <c r="AG338" s="784"/>
      <c r="AH338" s="784"/>
      <c r="AI338" s="784"/>
      <c r="AJ338" s="784"/>
      <c r="AK338" s="784"/>
      <c r="AL338" s="785"/>
      <c r="AM338" s="784"/>
      <c r="AN338" s="784"/>
      <c r="AO338" s="1462">
        <v>70</v>
      </c>
      <c r="AP338" s="1463"/>
      <c r="AQ338" s="638">
        <v>55</v>
      </c>
      <c r="AR338" s="638">
        <v>125</v>
      </c>
      <c r="AS338" s="638">
        <v>5</v>
      </c>
      <c r="AT338" s="1466" t="s">
        <v>99</v>
      </c>
      <c r="AU338" s="1467"/>
      <c r="AV338" s="821"/>
    </row>
    <row r="339" spans="11:48" ht="15.75" thickBot="1" x14ac:dyDescent="0.3">
      <c r="K339" s="631">
        <v>4</v>
      </c>
      <c r="L339" s="639" t="s">
        <v>669</v>
      </c>
      <c r="M339" s="779"/>
      <c r="N339" s="775">
        <v>60</v>
      </c>
      <c r="O339" s="775"/>
      <c r="P339" s="779"/>
      <c r="Q339" s="775"/>
      <c r="R339" s="775"/>
      <c r="S339" s="775"/>
      <c r="T339" s="775"/>
      <c r="U339" s="775"/>
      <c r="V339" s="775"/>
      <c r="W339" s="775"/>
      <c r="X339" s="779">
        <v>60</v>
      </c>
      <c r="Y339" s="781">
        <v>90</v>
      </c>
      <c r="Z339" s="780">
        <v>6</v>
      </c>
      <c r="AA339" s="787"/>
      <c r="AB339" s="784">
        <v>60</v>
      </c>
      <c r="AC339" s="784"/>
      <c r="AD339" s="784"/>
      <c r="AE339" s="784"/>
      <c r="AF339" s="784"/>
      <c r="AG339" s="784"/>
      <c r="AH339" s="784"/>
      <c r="AI339" s="784"/>
      <c r="AJ339" s="784"/>
      <c r="AK339" s="784"/>
      <c r="AL339" s="785">
        <v>60</v>
      </c>
      <c r="AM339" s="789">
        <v>90</v>
      </c>
      <c r="AN339" s="787">
        <v>6</v>
      </c>
      <c r="AO339" s="1462">
        <v>120</v>
      </c>
      <c r="AP339" s="1463"/>
      <c r="AQ339" s="638">
        <v>180</v>
      </c>
      <c r="AR339" s="638">
        <v>300</v>
      </c>
      <c r="AS339" s="638">
        <v>12</v>
      </c>
      <c r="AT339" s="1466" t="s">
        <v>99</v>
      </c>
      <c r="AU339" s="1467"/>
      <c r="AV339" s="821"/>
    </row>
    <row r="340" spans="11:48" ht="15.75" thickBot="1" x14ac:dyDescent="0.3">
      <c r="K340" s="637" t="s">
        <v>498</v>
      </c>
      <c r="L340" s="767" t="s">
        <v>485</v>
      </c>
      <c r="M340" s="824">
        <v>20</v>
      </c>
      <c r="N340" s="825"/>
      <c r="O340" s="825"/>
      <c r="P340" s="824">
        <v>35</v>
      </c>
      <c r="Q340" s="825"/>
      <c r="R340" s="825"/>
      <c r="S340" s="825"/>
      <c r="T340" s="825"/>
      <c r="U340" s="825"/>
      <c r="V340" s="825"/>
      <c r="W340" s="825"/>
      <c r="X340" s="824">
        <v>55</v>
      </c>
      <c r="Y340" s="824">
        <v>70</v>
      </c>
      <c r="Z340" s="824">
        <v>5</v>
      </c>
      <c r="AA340" s="834"/>
      <c r="AB340" s="834"/>
      <c r="AC340" s="834"/>
      <c r="AD340" s="834"/>
      <c r="AE340" s="834"/>
      <c r="AF340" s="834"/>
      <c r="AG340" s="834"/>
      <c r="AH340" s="834"/>
      <c r="AI340" s="834"/>
      <c r="AJ340" s="834"/>
      <c r="AK340" s="834"/>
      <c r="AL340" s="788"/>
      <c r="AM340" s="834"/>
      <c r="AN340" s="834"/>
      <c r="AO340" s="1462">
        <v>55</v>
      </c>
      <c r="AP340" s="1463"/>
      <c r="AQ340" s="638">
        <v>70</v>
      </c>
      <c r="AR340" s="638">
        <v>125</v>
      </c>
      <c r="AS340" s="638">
        <v>5</v>
      </c>
      <c r="AT340" s="1468" t="s">
        <v>56</v>
      </c>
      <c r="AU340" s="1469"/>
      <c r="AV340" s="821"/>
    </row>
    <row r="341" spans="11:48" ht="15.75" thickBot="1" x14ac:dyDescent="0.3">
      <c r="K341" s="637" t="s">
        <v>498</v>
      </c>
      <c r="L341" s="767" t="s">
        <v>533</v>
      </c>
      <c r="M341" s="825"/>
      <c r="N341" s="825"/>
      <c r="O341" s="825"/>
      <c r="P341" s="825"/>
      <c r="Q341" s="825"/>
      <c r="R341" s="825"/>
      <c r="S341" s="825"/>
      <c r="T341" s="825"/>
      <c r="U341" s="825"/>
      <c r="V341" s="825"/>
      <c r="W341" s="825"/>
      <c r="X341" s="824"/>
      <c r="Y341" s="825"/>
      <c r="Z341" s="825"/>
      <c r="AA341" s="835">
        <v>30</v>
      </c>
      <c r="AB341" s="835">
        <v>30</v>
      </c>
      <c r="AC341" s="834"/>
      <c r="AD341" s="834"/>
      <c r="AE341" s="834"/>
      <c r="AF341" s="834"/>
      <c r="AG341" s="835">
        <v>30</v>
      </c>
      <c r="AH341" s="834"/>
      <c r="AI341" s="834"/>
      <c r="AJ341" s="834"/>
      <c r="AK341" s="834"/>
      <c r="AL341" s="835">
        <v>90</v>
      </c>
      <c r="AM341" s="835">
        <v>85</v>
      </c>
      <c r="AN341" s="835">
        <v>7</v>
      </c>
      <c r="AO341" s="1462">
        <v>90</v>
      </c>
      <c r="AP341" s="1463"/>
      <c r="AQ341" s="638">
        <v>85</v>
      </c>
      <c r="AR341" s="638">
        <v>175</v>
      </c>
      <c r="AS341" s="638">
        <v>7</v>
      </c>
      <c r="AT341" s="1468" t="s">
        <v>56</v>
      </c>
      <c r="AU341" s="1469"/>
      <c r="AV341" s="821"/>
    </row>
    <row r="342" spans="11:48" ht="15.75" thickBot="1" x14ac:dyDescent="0.3">
      <c r="K342" s="637" t="s">
        <v>498</v>
      </c>
      <c r="L342" s="767" t="s">
        <v>530</v>
      </c>
      <c r="M342" s="825"/>
      <c r="N342" s="825"/>
      <c r="O342" s="825"/>
      <c r="P342" s="825"/>
      <c r="Q342" s="825"/>
      <c r="R342" s="825"/>
      <c r="S342" s="825"/>
      <c r="T342" s="825"/>
      <c r="U342" s="825"/>
      <c r="V342" s="825"/>
      <c r="W342" s="825"/>
      <c r="X342" s="824"/>
      <c r="Y342" s="825"/>
      <c r="Z342" s="825"/>
      <c r="AA342" s="835">
        <v>20</v>
      </c>
      <c r="AB342" s="834"/>
      <c r="AC342" s="834"/>
      <c r="AD342" s="835">
        <v>35</v>
      </c>
      <c r="AE342" s="834"/>
      <c r="AF342" s="834"/>
      <c r="AG342" s="834"/>
      <c r="AH342" s="834"/>
      <c r="AI342" s="834"/>
      <c r="AJ342" s="834"/>
      <c r="AK342" s="834"/>
      <c r="AL342" s="835">
        <v>55</v>
      </c>
      <c r="AM342" s="835">
        <v>95</v>
      </c>
      <c r="AN342" s="835">
        <v>6</v>
      </c>
      <c r="AO342" s="1462">
        <v>55</v>
      </c>
      <c r="AP342" s="1463"/>
      <c r="AQ342" s="638">
        <v>95</v>
      </c>
      <c r="AR342" s="638">
        <v>150</v>
      </c>
      <c r="AS342" s="638">
        <v>6</v>
      </c>
      <c r="AT342" s="1468" t="s">
        <v>99</v>
      </c>
      <c r="AU342" s="1469"/>
      <c r="AV342" s="821"/>
    </row>
    <row r="343" spans="11:48" ht="15.75" thickBot="1" x14ac:dyDescent="0.3">
      <c r="K343" s="768" t="s">
        <v>498</v>
      </c>
      <c r="L343" s="822" t="s">
        <v>587</v>
      </c>
      <c r="M343" s="826">
        <v>20</v>
      </c>
      <c r="N343" s="827"/>
      <c r="O343" s="827"/>
      <c r="P343" s="826">
        <v>35</v>
      </c>
      <c r="Q343" s="827"/>
      <c r="R343" s="827"/>
      <c r="S343" s="827"/>
      <c r="T343" s="827"/>
      <c r="U343" s="827"/>
      <c r="V343" s="827"/>
      <c r="W343" s="827"/>
      <c r="X343" s="824">
        <v>55</v>
      </c>
      <c r="Y343" s="828">
        <v>70</v>
      </c>
      <c r="Z343" s="829">
        <v>5</v>
      </c>
      <c r="AA343" s="836"/>
      <c r="AB343" s="837"/>
      <c r="AC343" s="837"/>
      <c r="AD343" s="837"/>
      <c r="AE343" s="837"/>
      <c r="AF343" s="837"/>
      <c r="AG343" s="837"/>
      <c r="AH343" s="837"/>
      <c r="AI343" s="837"/>
      <c r="AJ343" s="837"/>
      <c r="AK343" s="837"/>
      <c r="AL343" s="838"/>
      <c r="AM343" s="839"/>
      <c r="AN343" s="836"/>
      <c r="AO343" s="1462">
        <v>55</v>
      </c>
      <c r="AP343" s="1463"/>
      <c r="AQ343" s="770">
        <v>70</v>
      </c>
      <c r="AR343" s="770">
        <v>125</v>
      </c>
      <c r="AS343" s="770">
        <v>5</v>
      </c>
      <c r="AT343" s="1468" t="s">
        <v>56</v>
      </c>
      <c r="AU343" s="1469"/>
      <c r="AV343" s="821"/>
    </row>
    <row r="344" spans="11:48" ht="15.75" thickBot="1" x14ac:dyDescent="0.3">
      <c r="K344" s="653" t="s">
        <v>498</v>
      </c>
      <c r="L344" s="823" t="s">
        <v>486</v>
      </c>
      <c r="M344" s="830">
        <v>20</v>
      </c>
      <c r="N344" s="831"/>
      <c r="O344" s="831"/>
      <c r="P344" s="830">
        <v>35</v>
      </c>
      <c r="Q344" s="831"/>
      <c r="R344" s="831"/>
      <c r="S344" s="831"/>
      <c r="T344" s="831"/>
      <c r="U344" s="831"/>
      <c r="V344" s="831"/>
      <c r="W344" s="831"/>
      <c r="X344" s="824">
        <v>55</v>
      </c>
      <c r="Y344" s="832">
        <v>70</v>
      </c>
      <c r="Z344" s="833">
        <v>5</v>
      </c>
      <c r="AA344" s="840"/>
      <c r="AB344" s="841"/>
      <c r="AC344" s="841"/>
      <c r="AD344" s="841"/>
      <c r="AE344" s="841"/>
      <c r="AF344" s="841"/>
      <c r="AG344" s="841"/>
      <c r="AH344" s="841"/>
      <c r="AI344" s="841"/>
      <c r="AJ344" s="841"/>
      <c r="AK344" s="841"/>
      <c r="AL344" s="842"/>
      <c r="AM344" s="841"/>
      <c r="AN344" s="841"/>
      <c r="AO344" s="1462">
        <v>55</v>
      </c>
      <c r="AP344" s="1463"/>
      <c r="AQ344" s="772">
        <v>70</v>
      </c>
      <c r="AR344" s="772">
        <v>125</v>
      </c>
      <c r="AS344" s="772">
        <v>5</v>
      </c>
      <c r="AT344" s="1468" t="s">
        <v>56</v>
      </c>
      <c r="AU344" s="1469"/>
      <c r="AV344" s="821"/>
    </row>
    <row r="345" spans="11:48" ht="15.75" thickBot="1" x14ac:dyDescent="0.3">
      <c r="K345" s="637" t="s">
        <v>498</v>
      </c>
      <c r="L345" s="767" t="s">
        <v>490</v>
      </c>
      <c r="M345" s="825"/>
      <c r="N345" s="825"/>
      <c r="O345" s="825"/>
      <c r="P345" s="825"/>
      <c r="Q345" s="825"/>
      <c r="R345" s="825"/>
      <c r="S345" s="825"/>
      <c r="T345" s="825"/>
      <c r="U345" s="825"/>
      <c r="V345" s="825"/>
      <c r="W345" s="825"/>
      <c r="X345" s="824"/>
      <c r="Y345" s="825"/>
      <c r="Z345" s="825"/>
      <c r="AA345" s="835">
        <v>20</v>
      </c>
      <c r="AB345" s="834"/>
      <c r="AC345" s="834"/>
      <c r="AD345" s="835">
        <v>35</v>
      </c>
      <c r="AE345" s="834"/>
      <c r="AF345" s="834"/>
      <c r="AG345" s="834"/>
      <c r="AH345" s="834"/>
      <c r="AI345" s="834"/>
      <c r="AJ345" s="834"/>
      <c r="AK345" s="834"/>
      <c r="AL345" s="835">
        <v>55</v>
      </c>
      <c r="AM345" s="835">
        <v>70</v>
      </c>
      <c r="AN345" s="835">
        <v>5</v>
      </c>
      <c r="AO345" s="1462">
        <v>55</v>
      </c>
      <c r="AP345" s="1463"/>
      <c r="AQ345" s="638">
        <v>70</v>
      </c>
      <c r="AR345" s="638">
        <v>125</v>
      </c>
      <c r="AS345" s="638">
        <v>5</v>
      </c>
      <c r="AT345" s="1468" t="s">
        <v>56</v>
      </c>
      <c r="AU345" s="1469"/>
      <c r="AV345" s="821"/>
    </row>
    <row r="346" spans="11:48" ht="15.75" thickBot="1" x14ac:dyDescent="0.3">
      <c r="K346" s="637" t="s">
        <v>499</v>
      </c>
      <c r="L346" s="773" t="s">
        <v>489</v>
      </c>
      <c r="M346" s="775"/>
      <c r="N346" s="775"/>
      <c r="O346" s="775"/>
      <c r="P346" s="775"/>
      <c r="Q346" s="775"/>
      <c r="R346" s="775"/>
      <c r="S346" s="775"/>
      <c r="T346" s="775"/>
      <c r="U346" s="775"/>
      <c r="V346" s="775"/>
      <c r="W346" s="775"/>
      <c r="X346" s="779"/>
      <c r="Y346" s="775"/>
      <c r="Z346" s="775"/>
      <c r="AA346" s="785">
        <v>10</v>
      </c>
      <c r="AB346" s="784"/>
      <c r="AC346" s="784"/>
      <c r="AD346" s="784"/>
      <c r="AE346" s="784"/>
      <c r="AF346" s="784"/>
      <c r="AG346" s="785">
        <v>20</v>
      </c>
      <c r="AH346" s="784"/>
      <c r="AI346" s="784"/>
      <c r="AJ346" s="784"/>
      <c r="AK346" s="784"/>
      <c r="AL346" s="785">
        <v>30</v>
      </c>
      <c r="AM346" s="785">
        <v>95</v>
      </c>
      <c r="AN346" s="785">
        <v>5</v>
      </c>
      <c r="AO346" s="1462">
        <v>30</v>
      </c>
      <c r="AP346" s="1463"/>
      <c r="AQ346" s="638">
        <v>95</v>
      </c>
      <c r="AR346" s="638">
        <v>125</v>
      </c>
      <c r="AS346" s="638">
        <v>5</v>
      </c>
      <c r="AT346" s="1466" t="s">
        <v>56</v>
      </c>
      <c r="AU346" s="1467"/>
      <c r="AV346" s="821"/>
    </row>
    <row r="347" spans="11:48" ht="15.75" thickBot="1" x14ac:dyDescent="0.3">
      <c r="K347" s="637" t="s">
        <v>499</v>
      </c>
      <c r="L347" s="773" t="s">
        <v>525</v>
      </c>
      <c r="M347" s="775"/>
      <c r="N347" s="775"/>
      <c r="O347" s="775"/>
      <c r="P347" s="775"/>
      <c r="Q347" s="775"/>
      <c r="R347" s="775"/>
      <c r="S347" s="775"/>
      <c r="T347" s="775"/>
      <c r="U347" s="775"/>
      <c r="V347" s="775"/>
      <c r="W347" s="775"/>
      <c r="X347" s="779"/>
      <c r="Y347" s="775"/>
      <c r="Z347" s="775"/>
      <c r="AA347" s="785">
        <v>15</v>
      </c>
      <c r="AB347" s="784"/>
      <c r="AC347" s="784"/>
      <c r="AD347" s="785">
        <v>30</v>
      </c>
      <c r="AE347" s="784"/>
      <c r="AF347" s="784"/>
      <c r="AG347" s="784"/>
      <c r="AH347" s="784"/>
      <c r="AI347" s="784"/>
      <c r="AJ347" s="784"/>
      <c r="AK347" s="784"/>
      <c r="AL347" s="785">
        <v>45</v>
      </c>
      <c r="AM347" s="785">
        <v>80</v>
      </c>
      <c r="AN347" s="785">
        <v>5</v>
      </c>
      <c r="AO347" s="1462">
        <v>45</v>
      </c>
      <c r="AP347" s="1463"/>
      <c r="AQ347" s="638">
        <v>80</v>
      </c>
      <c r="AR347" s="638">
        <v>125</v>
      </c>
      <c r="AS347" s="638">
        <v>5</v>
      </c>
      <c r="AT347" s="1466" t="s">
        <v>99</v>
      </c>
      <c r="AU347" s="1467"/>
      <c r="AV347" s="821"/>
    </row>
    <row r="348" spans="11:48" ht="15.75" thickBot="1" x14ac:dyDescent="0.3">
      <c r="K348" s="637" t="s">
        <v>499</v>
      </c>
      <c r="L348" s="773" t="s">
        <v>701</v>
      </c>
      <c r="M348" s="779">
        <v>15</v>
      </c>
      <c r="N348" s="775"/>
      <c r="O348" s="779">
        <v>30</v>
      </c>
      <c r="P348" s="779">
        <v>30</v>
      </c>
      <c r="Q348" s="775"/>
      <c r="R348" s="775"/>
      <c r="S348" s="775"/>
      <c r="T348" s="775"/>
      <c r="U348" s="775"/>
      <c r="V348" s="775"/>
      <c r="W348" s="775"/>
      <c r="X348" s="779">
        <v>75</v>
      </c>
      <c r="Y348" s="779">
        <v>75</v>
      </c>
      <c r="Z348" s="779">
        <v>6</v>
      </c>
      <c r="AA348" s="784"/>
      <c r="AB348" s="784"/>
      <c r="AC348" s="784"/>
      <c r="AD348" s="784"/>
      <c r="AE348" s="784"/>
      <c r="AF348" s="784"/>
      <c r="AG348" s="784"/>
      <c r="AH348" s="784"/>
      <c r="AI348" s="784"/>
      <c r="AJ348" s="784"/>
      <c r="AK348" s="784"/>
      <c r="AL348" s="785"/>
      <c r="AM348" s="784"/>
      <c r="AN348" s="784"/>
      <c r="AO348" s="1462">
        <v>75</v>
      </c>
      <c r="AP348" s="1463"/>
      <c r="AQ348" s="638">
        <v>75</v>
      </c>
      <c r="AR348" s="638">
        <v>150</v>
      </c>
      <c r="AS348" s="638">
        <v>6</v>
      </c>
      <c r="AT348" s="1466" t="s">
        <v>56</v>
      </c>
      <c r="AU348" s="1467"/>
      <c r="AV348" s="821"/>
    </row>
    <row r="349" spans="11:48" ht="15.75" thickBot="1" x14ac:dyDescent="0.3">
      <c r="K349" s="637" t="s">
        <v>499</v>
      </c>
      <c r="L349" s="773" t="s">
        <v>487</v>
      </c>
      <c r="M349" s="779">
        <v>30</v>
      </c>
      <c r="N349" s="775"/>
      <c r="O349" s="775"/>
      <c r="P349" s="775"/>
      <c r="Q349" s="775"/>
      <c r="R349" s="775"/>
      <c r="S349" s="779">
        <v>40</v>
      </c>
      <c r="T349" s="775"/>
      <c r="U349" s="775"/>
      <c r="V349" s="775"/>
      <c r="W349" s="775"/>
      <c r="X349" s="779">
        <v>70</v>
      </c>
      <c r="Y349" s="779">
        <v>80</v>
      </c>
      <c r="Z349" s="779">
        <v>6</v>
      </c>
      <c r="AA349" s="784"/>
      <c r="AB349" s="784"/>
      <c r="AC349" s="784"/>
      <c r="AD349" s="784"/>
      <c r="AE349" s="784"/>
      <c r="AF349" s="784"/>
      <c r="AG349" s="784"/>
      <c r="AH349" s="784"/>
      <c r="AI349" s="784"/>
      <c r="AJ349" s="784"/>
      <c r="AK349" s="784"/>
      <c r="AL349" s="785"/>
      <c r="AM349" s="784"/>
      <c r="AN349" s="784"/>
      <c r="AO349" s="1462">
        <v>70</v>
      </c>
      <c r="AP349" s="1463"/>
      <c r="AQ349" s="638">
        <v>80</v>
      </c>
      <c r="AR349" s="638">
        <v>150</v>
      </c>
      <c r="AS349" s="638">
        <v>6</v>
      </c>
      <c r="AT349" s="1466" t="s">
        <v>56</v>
      </c>
      <c r="AU349" s="1467"/>
      <c r="AV349" s="821"/>
    </row>
    <row r="350" spans="11:48" ht="15.75" thickBot="1" x14ac:dyDescent="0.3">
      <c r="K350" s="637" t="s">
        <v>499</v>
      </c>
      <c r="L350" s="773" t="s">
        <v>531</v>
      </c>
      <c r="M350" s="775"/>
      <c r="N350" s="775"/>
      <c r="O350" s="775"/>
      <c r="P350" s="775"/>
      <c r="Q350" s="775"/>
      <c r="R350" s="775"/>
      <c r="S350" s="775"/>
      <c r="T350" s="775"/>
      <c r="U350" s="775"/>
      <c r="V350" s="775"/>
      <c r="W350" s="775"/>
      <c r="X350" s="779"/>
      <c r="Y350" s="775"/>
      <c r="Z350" s="775"/>
      <c r="AA350" s="785">
        <v>30</v>
      </c>
      <c r="AB350" s="784"/>
      <c r="AC350" s="784"/>
      <c r="AD350" s="785">
        <v>40</v>
      </c>
      <c r="AE350" s="784"/>
      <c r="AF350" s="784"/>
      <c r="AG350" s="784"/>
      <c r="AH350" s="784"/>
      <c r="AI350" s="784"/>
      <c r="AJ350" s="784"/>
      <c r="AK350" s="784"/>
      <c r="AL350" s="785">
        <v>70</v>
      </c>
      <c r="AM350" s="785">
        <v>80</v>
      </c>
      <c r="AN350" s="785">
        <v>6</v>
      </c>
      <c r="AO350" s="1462">
        <v>70</v>
      </c>
      <c r="AP350" s="1463"/>
      <c r="AQ350" s="638">
        <v>80</v>
      </c>
      <c r="AR350" s="638">
        <v>150</v>
      </c>
      <c r="AS350" s="638">
        <v>6</v>
      </c>
      <c r="AT350" s="1466" t="s">
        <v>56</v>
      </c>
      <c r="AU350" s="1467"/>
      <c r="AV350" s="821"/>
    </row>
    <row r="351" spans="11:48" ht="15.75" thickBot="1" x14ac:dyDescent="0.3">
      <c r="K351" s="637" t="s">
        <v>499</v>
      </c>
      <c r="L351" s="773" t="s">
        <v>532</v>
      </c>
      <c r="M351" s="775"/>
      <c r="N351" s="775"/>
      <c r="O351" s="775"/>
      <c r="P351" s="775"/>
      <c r="Q351" s="775"/>
      <c r="R351" s="775"/>
      <c r="S351" s="775"/>
      <c r="T351" s="775"/>
      <c r="U351" s="775"/>
      <c r="V351" s="775"/>
      <c r="W351" s="775"/>
      <c r="X351" s="779"/>
      <c r="Y351" s="775"/>
      <c r="Z351" s="775"/>
      <c r="AA351" s="785">
        <v>30</v>
      </c>
      <c r="AB351" s="784"/>
      <c r="AC351" s="784"/>
      <c r="AD351" s="785">
        <v>40</v>
      </c>
      <c r="AE351" s="784"/>
      <c r="AF351" s="784"/>
      <c r="AG351" s="784"/>
      <c r="AH351" s="784"/>
      <c r="AI351" s="784"/>
      <c r="AJ351" s="784"/>
      <c r="AK351" s="784"/>
      <c r="AL351" s="785">
        <v>70</v>
      </c>
      <c r="AM351" s="785">
        <v>55</v>
      </c>
      <c r="AN351" s="785">
        <v>5</v>
      </c>
      <c r="AO351" s="1462">
        <v>70</v>
      </c>
      <c r="AP351" s="1463"/>
      <c r="AQ351" s="638">
        <v>55</v>
      </c>
      <c r="AR351" s="638">
        <v>125</v>
      </c>
      <c r="AS351" s="638">
        <v>5</v>
      </c>
      <c r="AT351" s="1466" t="s">
        <v>56</v>
      </c>
      <c r="AU351" s="1467"/>
      <c r="AV351" s="821"/>
    </row>
    <row r="352" spans="11:48" ht="15.75" thickBot="1" x14ac:dyDescent="0.3">
      <c r="K352" s="1466" t="s">
        <v>628</v>
      </c>
      <c r="L352" s="1467"/>
      <c r="M352" s="633">
        <v>130</v>
      </c>
      <c r="N352" s="633">
        <v>60</v>
      </c>
      <c r="O352" s="633">
        <v>40</v>
      </c>
      <c r="P352" s="633">
        <v>175</v>
      </c>
      <c r="Q352" s="633">
        <v>0</v>
      </c>
      <c r="R352" s="633">
        <v>0</v>
      </c>
      <c r="S352" s="633">
        <v>0</v>
      </c>
      <c r="T352" s="633">
        <v>0</v>
      </c>
      <c r="U352" s="633">
        <v>0</v>
      </c>
      <c r="V352" s="633">
        <v>0</v>
      </c>
      <c r="W352" s="633">
        <v>0</v>
      </c>
      <c r="X352" s="633">
        <v>405</v>
      </c>
      <c r="Y352" s="633">
        <v>495</v>
      </c>
      <c r="Z352" s="633">
        <v>36</v>
      </c>
      <c r="AA352" s="633">
        <v>70</v>
      </c>
      <c r="AB352" s="633">
        <v>90</v>
      </c>
      <c r="AC352" s="633">
        <v>0</v>
      </c>
      <c r="AD352" s="633">
        <v>70</v>
      </c>
      <c r="AE352" s="633">
        <v>0</v>
      </c>
      <c r="AF352" s="633">
        <v>0</v>
      </c>
      <c r="AG352" s="633">
        <v>30</v>
      </c>
      <c r="AH352" s="633">
        <v>0</v>
      </c>
      <c r="AI352" s="633">
        <v>0</v>
      </c>
      <c r="AJ352" s="633">
        <v>0</v>
      </c>
      <c r="AK352" s="633">
        <v>0</v>
      </c>
      <c r="AL352" s="633">
        <v>260</v>
      </c>
      <c r="AM352" s="633">
        <v>340</v>
      </c>
      <c r="AN352" s="633">
        <v>24</v>
      </c>
      <c r="AO352" s="1462">
        <v>665</v>
      </c>
      <c r="AP352" s="1463"/>
      <c r="AQ352" s="638">
        <v>835</v>
      </c>
      <c r="AR352" s="638">
        <v>1500</v>
      </c>
      <c r="AS352" s="638">
        <v>60</v>
      </c>
      <c r="AT352" s="1470"/>
      <c r="AU352" s="1471"/>
      <c r="AV352" s="821"/>
    </row>
    <row r="353" spans="1:48" ht="15.75" thickBot="1" x14ac:dyDescent="0.3">
      <c r="K353" s="1466" t="s">
        <v>629</v>
      </c>
      <c r="L353" s="1467"/>
      <c r="M353" s="633">
        <v>115</v>
      </c>
      <c r="N353" s="633">
        <v>60</v>
      </c>
      <c r="O353" s="633">
        <v>70</v>
      </c>
      <c r="P353" s="633">
        <v>100</v>
      </c>
      <c r="Q353" s="633">
        <v>0</v>
      </c>
      <c r="R353" s="633">
        <v>0</v>
      </c>
      <c r="S353" s="633">
        <v>40</v>
      </c>
      <c r="T353" s="633">
        <v>0</v>
      </c>
      <c r="U353" s="633">
        <v>0</v>
      </c>
      <c r="V353" s="633">
        <v>0</v>
      </c>
      <c r="W353" s="633">
        <v>0</v>
      </c>
      <c r="X353" s="633">
        <v>385</v>
      </c>
      <c r="Y353" s="633">
        <v>440</v>
      </c>
      <c r="Z353" s="633">
        <v>33</v>
      </c>
      <c r="AA353" s="633">
        <v>85</v>
      </c>
      <c r="AB353" s="633">
        <v>60</v>
      </c>
      <c r="AC353" s="633">
        <v>0</v>
      </c>
      <c r="AD353" s="633">
        <v>110</v>
      </c>
      <c r="AE353" s="633">
        <v>0</v>
      </c>
      <c r="AF353" s="633">
        <v>0</v>
      </c>
      <c r="AG353" s="633">
        <v>20</v>
      </c>
      <c r="AH353" s="633">
        <v>0</v>
      </c>
      <c r="AI353" s="633">
        <v>0</v>
      </c>
      <c r="AJ353" s="633">
        <v>0</v>
      </c>
      <c r="AK353" s="633">
        <v>0</v>
      </c>
      <c r="AL353" s="633">
        <v>275</v>
      </c>
      <c r="AM353" s="633">
        <v>400</v>
      </c>
      <c r="AN353" s="633">
        <v>27</v>
      </c>
      <c r="AO353" s="1462">
        <v>660</v>
      </c>
      <c r="AP353" s="1463"/>
      <c r="AQ353" s="638">
        <v>840</v>
      </c>
      <c r="AR353" s="638">
        <v>1500</v>
      </c>
      <c r="AS353" s="638">
        <v>60</v>
      </c>
      <c r="AT353" s="1470"/>
      <c r="AU353" s="1471"/>
      <c r="AV353" s="821"/>
    </row>
    <row r="354" spans="1:48" s="844" customFormat="1" x14ac:dyDescent="0.25">
      <c r="A354" s="843"/>
      <c r="M354" s="844">
        <f>SUM(M335:M336,M338:M345)</f>
        <v>110</v>
      </c>
      <c r="N354" s="844">
        <f t="shared" ref="N354:AS354" si="15">SUM(N335:N336,N338:N345)</f>
        <v>60</v>
      </c>
      <c r="O354" s="844">
        <f t="shared" si="15"/>
        <v>50</v>
      </c>
      <c r="P354" s="844">
        <f t="shared" si="15"/>
        <v>145</v>
      </c>
      <c r="Q354" s="844">
        <f t="shared" si="15"/>
        <v>0</v>
      </c>
      <c r="R354" s="844">
        <f t="shared" si="15"/>
        <v>0</v>
      </c>
      <c r="S354" s="844">
        <f t="shared" si="15"/>
        <v>0</v>
      </c>
      <c r="T354" s="844">
        <f t="shared" si="15"/>
        <v>0</v>
      </c>
      <c r="U354" s="844">
        <f t="shared" si="15"/>
        <v>0</v>
      </c>
      <c r="V354" s="844">
        <f t="shared" si="15"/>
        <v>0</v>
      </c>
      <c r="W354" s="844">
        <f t="shared" si="15"/>
        <v>0</v>
      </c>
      <c r="X354" s="844">
        <f t="shared" si="15"/>
        <v>365</v>
      </c>
      <c r="Y354" s="844">
        <f t="shared" si="15"/>
        <v>435</v>
      </c>
      <c r="Z354" s="844">
        <f t="shared" si="15"/>
        <v>32</v>
      </c>
      <c r="AA354" s="844">
        <f t="shared" si="15"/>
        <v>90</v>
      </c>
      <c r="AB354" s="844">
        <f t="shared" si="15"/>
        <v>90</v>
      </c>
      <c r="AC354" s="844">
        <f t="shared" si="15"/>
        <v>0</v>
      </c>
      <c r="AD354" s="844">
        <f t="shared" si="15"/>
        <v>110</v>
      </c>
      <c r="AE354" s="844">
        <f t="shared" si="15"/>
        <v>0</v>
      </c>
      <c r="AF354" s="844">
        <f t="shared" si="15"/>
        <v>0</v>
      </c>
      <c r="AG354" s="844">
        <f t="shared" si="15"/>
        <v>30</v>
      </c>
      <c r="AH354" s="844">
        <f t="shared" si="15"/>
        <v>0</v>
      </c>
      <c r="AI354" s="844">
        <f t="shared" si="15"/>
        <v>0</v>
      </c>
      <c r="AJ354" s="844">
        <f t="shared" si="15"/>
        <v>0</v>
      </c>
      <c r="AK354" s="844">
        <f t="shared" si="15"/>
        <v>0</v>
      </c>
      <c r="AL354" s="844">
        <f t="shared" si="15"/>
        <v>320</v>
      </c>
      <c r="AM354" s="844">
        <f t="shared" si="15"/>
        <v>380</v>
      </c>
      <c r="AN354" s="844">
        <f t="shared" si="15"/>
        <v>28</v>
      </c>
      <c r="AO354" s="844">
        <f t="shared" si="15"/>
        <v>685</v>
      </c>
      <c r="AP354" s="844">
        <f t="shared" si="15"/>
        <v>0</v>
      </c>
      <c r="AQ354" s="844">
        <f t="shared" si="15"/>
        <v>815</v>
      </c>
      <c r="AR354" s="844">
        <f t="shared" si="15"/>
        <v>1500</v>
      </c>
      <c r="AS354" s="844">
        <f t="shared" si="15"/>
        <v>60</v>
      </c>
    </row>
    <row r="355" spans="1:48" s="844" customFormat="1" x14ac:dyDescent="0.25">
      <c r="A355" s="843"/>
      <c r="M355" s="844">
        <f>SUM(M335,M337:M339,M346:M351)</f>
        <v>95</v>
      </c>
      <c r="N355" s="844">
        <f t="shared" ref="N355:AS355" si="16">SUM(N335,N337:N339,N346:N351)</f>
        <v>60</v>
      </c>
      <c r="O355" s="844">
        <f t="shared" si="16"/>
        <v>80</v>
      </c>
      <c r="P355" s="844">
        <f t="shared" si="16"/>
        <v>70</v>
      </c>
      <c r="Q355" s="844">
        <f t="shared" si="16"/>
        <v>0</v>
      </c>
      <c r="R355" s="844">
        <f t="shared" si="16"/>
        <v>0</v>
      </c>
      <c r="S355" s="844">
        <f t="shared" si="16"/>
        <v>40</v>
      </c>
      <c r="T355" s="844">
        <f t="shared" si="16"/>
        <v>0</v>
      </c>
      <c r="U355" s="844">
        <f t="shared" si="16"/>
        <v>0</v>
      </c>
      <c r="V355" s="844">
        <f t="shared" si="16"/>
        <v>0</v>
      </c>
      <c r="W355" s="844">
        <f t="shared" si="16"/>
        <v>0</v>
      </c>
      <c r="X355" s="844">
        <f t="shared" si="16"/>
        <v>345</v>
      </c>
      <c r="Y355" s="844">
        <f t="shared" si="16"/>
        <v>380</v>
      </c>
      <c r="Z355" s="844">
        <f t="shared" si="16"/>
        <v>29</v>
      </c>
      <c r="AA355" s="844">
        <f t="shared" si="16"/>
        <v>105</v>
      </c>
      <c r="AB355" s="844">
        <f t="shared" si="16"/>
        <v>60</v>
      </c>
      <c r="AC355" s="844">
        <f t="shared" si="16"/>
        <v>0</v>
      </c>
      <c r="AD355" s="844">
        <f t="shared" si="16"/>
        <v>150</v>
      </c>
      <c r="AE355" s="844">
        <f t="shared" si="16"/>
        <v>0</v>
      </c>
      <c r="AF355" s="844">
        <f t="shared" si="16"/>
        <v>0</v>
      </c>
      <c r="AG355" s="844">
        <f t="shared" si="16"/>
        <v>20</v>
      </c>
      <c r="AH355" s="844">
        <f t="shared" si="16"/>
        <v>0</v>
      </c>
      <c r="AI355" s="844">
        <f t="shared" si="16"/>
        <v>0</v>
      </c>
      <c r="AJ355" s="844">
        <f t="shared" si="16"/>
        <v>0</v>
      </c>
      <c r="AK355" s="844">
        <f t="shared" si="16"/>
        <v>0</v>
      </c>
      <c r="AL355" s="844">
        <f t="shared" si="16"/>
        <v>335</v>
      </c>
      <c r="AM355" s="844">
        <f t="shared" si="16"/>
        <v>440</v>
      </c>
      <c r="AN355" s="844">
        <f t="shared" si="16"/>
        <v>31</v>
      </c>
      <c r="AO355" s="844">
        <f t="shared" si="16"/>
        <v>680</v>
      </c>
      <c r="AP355" s="844">
        <f t="shared" si="16"/>
        <v>0</v>
      </c>
      <c r="AQ355" s="844">
        <f t="shared" si="16"/>
        <v>820</v>
      </c>
      <c r="AR355" s="844">
        <f t="shared" si="16"/>
        <v>1500</v>
      </c>
      <c r="AS355" s="844">
        <f t="shared" si="16"/>
        <v>60</v>
      </c>
    </row>
    <row r="360" spans="1:48" ht="15.75" thickBot="1" x14ac:dyDescent="0.3"/>
    <row r="361" spans="1:48" x14ac:dyDescent="0.25">
      <c r="K361" s="1472" t="s">
        <v>638</v>
      </c>
      <c r="L361" s="580"/>
      <c r="M361" s="1475" t="s">
        <v>631</v>
      </c>
      <c r="N361" s="1475" t="s">
        <v>632</v>
      </c>
      <c r="O361" s="1475" t="s">
        <v>633</v>
      </c>
      <c r="P361" s="1475" t="s">
        <v>634</v>
      </c>
      <c r="Q361" s="879" t="s">
        <v>635</v>
      </c>
      <c r="R361" s="879" t="s">
        <v>637</v>
      </c>
      <c r="S361" s="878" t="s">
        <v>640</v>
      </c>
      <c r="T361" s="1416"/>
    </row>
    <row r="362" spans="1:48" x14ac:dyDescent="0.25">
      <c r="K362" s="1473"/>
      <c r="L362" s="581" t="s">
        <v>630</v>
      </c>
      <c r="M362" s="1476"/>
      <c r="N362" s="1476"/>
      <c r="O362" s="1476"/>
      <c r="P362" s="1476"/>
      <c r="Q362" s="880" t="s">
        <v>636</v>
      </c>
      <c r="R362" s="880" t="s">
        <v>129</v>
      </c>
      <c r="S362" s="882" t="s">
        <v>641</v>
      </c>
      <c r="T362" s="1416"/>
    </row>
    <row r="363" spans="1:48" ht="15.75" thickBot="1" x14ac:dyDescent="0.3">
      <c r="K363" s="1474"/>
      <c r="L363" s="582"/>
      <c r="M363" s="1477"/>
      <c r="N363" s="1477"/>
      <c r="O363" s="1477"/>
      <c r="P363" s="1477"/>
      <c r="Q363" s="881"/>
      <c r="R363" s="881"/>
      <c r="S363" s="562" t="s">
        <v>642</v>
      </c>
      <c r="T363" s="570"/>
    </row>
    <row r="364" spans="1:48" ht="15.75" thickBot="1" x14ac:dyDescent="0.3">
      <c r="K364" s="766">
        <v>1</v>
      </c>
      <c r="L364" s="583" t="s">
        <v>466</v>
      </c>
      <c r="M364" s="562">
        <v>30</v>
      </c>
      <c r="N364" s="562"/>
      <c r="O364" s="562">
        <v>45</v>
      </c>
      <c r="P364" s="562"/>
      <c r="Q364" s="563">
        <v>75</v>
      </c>
      <c r="R364" s="563">
        <v>4</v>
      </c>
      <c r="S364" s="883" t="s">
        <v>56</v>
      </c>
      <c r="T364" s="570"/>
    </row>
    <row r="365" spans="1:48" ht="15.75" thickBot="1" x14ac:dyDescent="0.3">
      <c r="K365" s="766">
        <v>2</v>
      </c>
      <c r="L365" s="583" t="s">
        <v>627</v>
      </c>
      <c r="M365" s="562">
        <v>10</v>
      </c>
      <c r="N365" s="562"/>
      <c r="O365" s="562">
        <v>10</v>
      </c>
      <c r="P365" s="562"/>
      <c r="Q365" s="563">
        <v>20</v>
      </c>
      <c r="R365" s="563">
        <v>2</v>
      </c>
      <c r="S365" s="883" t="s">
        <v>99</v>
      </c>
      <c r="T365" s="570"/>
    </row>
    <row r="366" spans="1:48" ht="26.25" thickBot="1" x14ac:dyDescent="0.3">
      <c r="K366" s="766">
        <v>3</v>
      </c>
      <c r="L366" s="583" t="s">
        <v>682</v>
      </c>
      <c r="M366" s="562"/>
      <c r="N366" s="562"/>
      <c r="O366" s="562"/>
      <c r="P366" s="562">
        <v>160</v>
      </c>
      <c r="Q366" s="563">
        <v>160</v>
      </c>
      <c r="R366" s="563">
        <v>6</v>
      </c>
      <c r="S366" s="883" t="s">
        <v>99</v>
      </c>
      <c r="T366" s="570"/>
    </row>
    <row r="367" spans="1:48" ht="26.25" thickBot="1" x14ac:dyDescent="0.3">
      <c r="K367" s="766">
        <v>4</v>
      </c>
      <c r="L367" s="583" t="s">
        <v>683</v>
      </c>
      <c r="M367" s="562"/>
      <c r="N367" s="562"/>
      <c r="O367" s="562"/>
      <c r="P367" s="562">
        <v>160</v>
      </c>
      <c r="Q367" s="563">
        <v>160</v>
      </c>
      <c r="R367" s="563">
        <v>6</v>
      </c>
      <c r="S367" s="883" t="s">
        <v>99</v>
      </c>
      <c r="T367" s="570"/>
    </row>
    <row r="368" spans="1:48" ht="39" thickBot="1" x14ac:dyDescent="0.3">
      <c r="K368" s="766" t="s">
        <v>498</v>
      </c>
      <c r="L368" s="584" t="s">
        <v>715</v>
      </c>
      <c r="M368" s="562"/>
      <c r="N368" s="562"/>
      <c r="O368" s="562">
        <v>40</v>
      </c>
      <c r="P368" s="562"/>
      <c r="Q368" s="563">
        <v>40</v>
      </c>
      <c r="R368" s="563">
        <v>2</v>
      </c>
      <c r="S368" s="883" t="s">
        <v>99</v>
      </c>
      <c r="T368" s="570"/>
    </row>
    <row r="369" spans="11:20" ht="51.75" hidden="1" thickBot="1" x14ac:dyDescent="0.3">
      <c r="K369" s="766" t="s">
        <v>499</v>
      </c>
      <c r="L369" s="585" t="s">
        <v>716</v>
      </c>
      <c r="M369" s="562"/>
      <c r="N369" s="562"/>
      <c r="O369" s="562">
        <v>40</v>
      </c>
      <c r="P369" s="562"/>
      <c r="Q369" s="563">
        <v>40</v>
      </c>
      <c r="R369" s="563">
        <v>2</v>
      </c>
      <c r="S369" s="883" t="s">
        <v>99</v>
      </c>
      <c r="T369" s="570"/>
    </row>
    <row r="370" spans="11:20" ht="26.25" thickBot="1" x14ac:dyDescent="0.3">
      <c r="K370" s="766">
        <v>6</v>
      </c>
      <c r="L370" s="583" t="s">
        <v>657</v>
      </c>
      <c r="M370" s="562">
        <v>20</v>
      </c>
      <c r="N370" s="562"/>
      <c r="O370" s="562">
        <v>40</v>
      </c>
      <c r="P370" s="562"/>
      <c r="Q370" s="563">
        <v>60</v>
      </c>
      <c r="R370" s="563">
        <v>3</v>
      </c>
      <c r="S370" s="883" t="s">
        <v>99</v>
      </c>
      <c r="T370" s="570"/>
    </row>
    <row r="371" spans="11:20" ht="39" thickBot="1" x14ac:dyDescent="0.3">
      <c r="K371" s="766">
        <v>7</v>
      </c>
      <c r="L371" s="583" t="s">
        <v>748</v>
      </c>
      <c r="M371" s="562">
        <v>20</v>
      </c>
      <c r="N371" s="562"/>
      <c r="O371" s="562">
        <v>40</v>
      </c>
      <c r="P371" s="562"/>
      <c r="Q371" s="563">
        <v>60</v>
      </c>
      <c r="R371" s="563">
        <v>4</v>
      </c>
      <c r="S371" s="883" t="s">
        <v>99</v>
      </c>
      <c r="T371" s="570"/>
    </row>
    <row r="372" spans="11:20" ht="15.75" thickBot="1" x14ac:dyDescent="0.3">
      <c r="K372" s="766">
        <v>8</v>
      </c>
      <c r="L372" s="583" t="s">
        <v>749</v>
      </c>
      <c r="M372" s="562"/>
      <c r="N372" s="562">
        <v>120</v>
      </c>
      <c r="O372" s="562"/>
      <c r="P372" s="562"/>
      <c r="Q372" s="563">
        <v>120</v>
      </c>
      <c r="R372" s="563">
        <v>10</v>
      </c>
      <c r="S372" s="883" t="s">
        <v>99</v>
      </c>
      <c r="T372" s="570"/>
    </row>
    <row r="373" spans="11:20" ht="15.75" thickBot="1" x14ac:dyDescent="0.3">
      <c r="K373" s="766" t="s">
        <v>498</v>
      </c>
      <c r="L373" s="584" t="s">
        <v>475</v>
      </c>
      <c r="M373" s="562">
        <v>10</v>
      </c>
      <c r="N373" s="562">
        <v>10</v>
      </c>
      <c r="O373" s="562">
        <v>40</v>
      </c>
      <c r="P373" s="562"/>
      <c r="Q373" s="563">
        <v>60</v>
      </c>
      <c r="R373" s="563">
        <v>3</v>
      </c>
      <c r="S373" s="883" t="s">
        <v>56</v>
      </c>
      <c r="T373" s="570"/>
    </row>
    <row r="374" spans="11:20" ht="15.75" thickBot="1" x14ac:dyDescent="0.3">
      <c r="K374" s="766" t="s">
        <v>498</v>
      </c>
      <c r="L374" s="584" t="s">
        <v>474</v>
      </c>
      <c r="M374" s="562">
        <v>15</v>
      </c>
      <c r="N374" s="562"/>
      <c r="O374" s="562">
        <v>20</v>
      </c>
      <c r="P374" s="562"/>
      <c r="Q374" s="563">
        <v>35</v>
      </c>
      <c r="R374" s="563">
        <v>2</v>
      </c>
      <c r="S374" s="883" t="s">
        <v>99</v>
      </c>
      <c r="T374" s="570"/>
    </row>
    <row r="375" spans="11:20" ht="15.75" thickBot="1" x14ac:dyDescent="0.3">
      <c r="K375" s="766" t="s">
        <v>498</v>
      </c>
      <c r="L375" s="584" t="s">
        <v>626</v>
      </c>
      <c r="M375" s="562">
        <v>15</v>
      </c>
      <c r="N375" s="562"/>
      <c r="O375" s="562">
        <v>30</v>
      </c>
      <c r="P375" s="562"/>
      <c r="Q375" s="563">
        <v>45</v>
      </c>
      <c r="R375" s="563">
        <v>2</v>
      </c>
      <c r="S375" s="883" t="s">
        <v>99</v>
      </c>
      <c r="T375" s="570"/>
    </row>
    <row r="376" spans="11:20" ht="15.75" thickBot="1" x14ac:dyDescent="0.3">
      <c r="K376" s="766" t="s">
        <v>498</v>
      </c>
      <c r="L376" s="584" t="s">
        <v>625</v>
      </c>
      <c r="M376" s="562">
        <v>30</v>
      </c>
      <c r="N376" s="562"/>
      <c r="O376" s="562">
        <v>20</v>
      </c>
      <c r="P376" s="562"/>
      <c r="Q376" s="563">
        <v>50</v>
      </c>
      <c r="R376" s="563">
        <v>3</v>
      </c>
      <c r="S376" s="883" t="s">
        <v>56</v>
      </c>
      <c r="T376" s="570"/>
    </row>
    <row r="377" spans="11:20" ht="15.75" thickBot="1" x14ac:dyDescent="0.3">
      <c r="K377" s="766" t="s">
        <v>498</v>
      </c>
      <c r="L377" s="584" t="s">
        <v>483</v>
      </c>
      <c r="M377" s="562">
        <v>15</v>
      </c>
      <c r="N377" s="562"/>
      <c r="O377" s="562">
        <v>30</v>
      </c>
      <c r="P377" s="562"/>
      <c r="Q377" s="563">
        <v>45</v>
      </c>
      <c r="R377" s="563">
        <v>3</v>
      </c>
      <c r="S377" s="883" t="s">
        <v>56</v>
      </c>
      <c r="T377" s="570"/>
    </row>
    <row r="378" spans="11:20" ht="15.75" thickBot="1" x14ac:dyDescent="0.3">
      <c r="K378" s="766" t="s">
        <v>498</v>
      </c>
      <c r="L378" s="584" t="s">
        <v>479</v>
      </c>
      <c r="M378" s="562">
        <v>15</v>
      </c>
      <c r="N378" s="562"/>
      <c r="O378" s="562">
        <v>60</v>
      </c>
      <c r="P378" s="562"/>
      <c r="Q378" s="563">
        <v>75</v>
      </c>
      <c r="R378" s="563">
        <v>6</v>
      </c>
      <c r="S378" s="883" t="s">
        <v>56</v>
      </c>
      <c r="T378" s="570"/>
    </row>
    <row r="379" spans="11:20" ht="26.25" thickBot="1" x14ac:dyDescent="0.3">
      <c r="K379" s="766" t="s">
        <v>498</v>
      </c>
      <c r="L379" s="584" t="s">
        <v>677</v>
      </c>
      <c r="M379" s="562"/>
      <c r="N379" s="562"/>
      <c r="O379" s="562">
        <v>60</v>
      </c>
      <c r="P379" s="562"/>
      <c r="Q379" s="563">
        <v>60</v>
      </c>
      <c r="R379" s="563">
        <v>4</v>
      </c>
      <c r="S379" s="883" t="s">
        <v>56</v>
      </c>
      <c r="T379" s="570"/>
    </row>
    <row r="380" spans="11:20" ht="15.75" hidden="1" thickBot="1" x14ac:dyDescent="0.3">
      <c r="K380" s="766" t="s">
        <v>499</v>
      </c>
      <c r="L380" s="585" t="s">
        <v>477</v>
      </c>
      <c r="M380" s="562"/>
      <c r="N380" s="562">
        <v>20</v>
      </c>
      <c r="O380" s="562">
        <v>15</v>
      </c>
      <c r="P380" s="562"/>
      <c r="Q380" s="563">
        <v>35</v>
      </c>
      <c r="R380" s="563">
        <v>2</v>
      </c>
      <c r="S380" s="883" t="s">
        <v>99</v>
      </c>
      <c r="T380" s="570"/>
    </row>
    <row r="381" spans="11:20" ht="15.75" hidden="1" thickBot="1" x14ac:dyDescent="0.3">
      <c r="K381" s="766" t="s">
        <v>499</v>
      </c>
      <c r="L381" s="585" t="s">
        <v>527</v>
      </c>
      <c r="M381" s="562">
        <v>5</v>
      </c>
      <c r="N381" s="562"/>
      <c r="O381" s="562">
        <v>40</v>
      </c>
      <c r="P381" s="562"/>
      <c r="Q381" s="563">
        <v>45</v>
      </c>
      <c r="R381" s="563">
        <v>3</v>
      </c>
      <c r="S381" s="883" t="s">
        <v>99</v>
      </c>
      <c r="T381" s="570"/>
    </row>
    <row r="382" spans="11:20" ht="15.75" hidden="1" thickBot="1" x14ac:dyDescent="0.3">
      <c r="K382" s="766" t="s">
        <v>499</v>
      </c>
      <c r="L382" s="585" t="s">
        <v>481</v>
      </c>
      <c r="M382" s="562">
        <v>15</v>
      </c>
      <c r="N382" s="562">
        <v>30</v>
      </c>
      <c r="O382" s="562"/>
      <c r="P382" s="562"/>
      <c r="Q382" s="563">
        <v>45</v>
      </c>
      <c r="R382" s="563">
        <v>3</v>
      </c>
      <c r="S382" s="883" t="s">
        <v>56</v>
      </c>
      <c r="T382" s="570"/>
    </row>
    <row r="383" spans="11:20" ht="15.75" hidden="1" thickBot="1" x14ac:dyDescent="0.3">
      <c r="K383" s="766" t="s">
        <v>499</v>
      </c>
      <c r="L383" s="585" t="s">
        <v>526</v>
      </c>
      <c r="M383" s="562">
        <v>30</v>
      </c>
      <c r="N383" s="562"/>
      <c r="O383" s="562">
        <v>30</v>
      </c>
      <c r="P383" s="562"/>
      <c r="Q383" s="563">
        <v>60</v>
      </c>
      <c r="R383" s="563">
        <v>3</v>
      </c>
      <c r="S383" s="883" t="s">
        <v>56</v>
      </c>
      <c r="T383" s="570"/>
    </row>
    <row r="384" spans="11:20" ht="15.75" hidden="1" thickBot="1" x14ac:dyDescent="0.3">
      <c r="K384" s="766" t="s">
        <v>499</v>
      </c>
      <c r="L384" s="585" t="s">
        <v>702</v>
      </c>
      <c r="M384" s="562">
        <v>20</v>
      </c>
      <c r="N384" s="562"/>
      <c r="O384" s="562">
        <v>30</v>
      </c>
      <c r="P384" s="562"/>
      <c r="Q384" s="563">
        <v>50</v>
      </c>
      <c r="R384" s="563">
        <v>4</v>
      </c>
      <c r="S384" s="883" t="s">
        <v>56</v>
      </c>
      <c r="T384" s="570"/>
    </row>
    <row r="385" spans="11:20" ht="15.75" hidden="1" thickBot="1" x14ac:dyDescent="0.3">
      <c r="K385" s="766" t="s">
        <v>499</v>
      </c>
      <c r="L385" s="585" t="s">
        <v>476</v>
      </c>
      <c r="M385" s="562">
        <v>30</v>
      </c>
      <c r="N385" s="562"/>
      <c r="O385" s="562">
        <v>40</v>
      </c>
      <c r="P385" s="562"/>
      <c r="Q385" s="563">
        <v>70</v>
      </c>
      <c r="R385" s="563">
        <v>4</v>
      </c>
      <c r="S385" s="883" t="s">
        <v>56</v>
      </c>
      <c r="T385" s="570"/>
    </row>
    <row r="386" spans="11:20" ht="15.75" hidden="1" thickBot="1" x14ac:dyDescent="0.3">
      <c r="K386" s="766" t="s">
        <v>499</v>
      </c>
      <c r="L386" s="585" t="s">
        <v>480</v>
      </c>
      <c r="M386" s="562">
        <v>15</v>
      </c>
      <c r="N386" s="562"/>
      <c r="O386" s="562">
        <v>55</v>
      </c>
      <c r="P386" s="562"/>
      <c r="Q386" s="563">
        <v>70</v>
      </c>
      <c r="R386" s="563">
        <v>4</v>
      </c>
      <c r="S386" s="883" t="s">
        <v>56</v>
      </c>
      <c r="T386" s="570"/>
    </row>
    <row r="387" spans="11:20" ht="15.75" thickBot="1" x14ac:dyDescent="0.3">
      <c r="K387" s="1478" t="s">
        <v>628</v>
      </c>
      <c r="L387" s="1479"/>
      <c r="M387" s="562">
        <v>180</v>
      </c>
      <c r="N387" s="562">
        <v>130</v>
      </c>
      <c r="O387" s="562">
        <v>435</v>
      </c>
      <c r="P387" s="884">
        <v>320</v>
      </c>
      <c r="Q387" s="885">
        <v>1065</v>
      </c>
      <c r="R387" s="885">
        <v>60</v>
      </c>
      <c r="S387" s="883"/>
      <c r="T387" s="570"/>
    </row>
    <row r="388" spans="11:20" ht="15.75" thickBot="1" x14ac:dyDescent="0.3">
      <c r="K388" s="1478" t="s">
        <v>629</v>
      </c>
      <c r="L388" s="1479"/>
      <c r="M388" s="562">
        <v>195</v>
      </c>
      <c r="N388" s="562">
        <v>170</v>
      </c>
      <c r="O388" s="562">
        <v>385</v>
      </c>
      <c r="P388" s="884">
        <v>320</v>
      </c>
      <c r="Q388" s="885">
        <v>1070</v>
      </c>
      <c r="R388" s="885">
        <v>60</v>
      </c>
      <c r="S388" s="883"/>
      <c r="T388" s="570"/>
    </row>
  </sheetData>
  <autoFilter ref="K361:S388" xr:uid="{FDA8D6AD-EFE1-4061-9351-C43F846FEFA9}">
    <filterColumn colId="0">
      <filters blank="1">
        <filter val="1"/>
        <filter val="2"/>
        <filter val="3"/>
        <filter val="4"/>
        <filter val="6"/>
        <filter val="7"/>
        <filter val="8"/>
        <filter val="PK"/>
        <filter val="RAZEM dla ścieżki Psychologia kliniczna"/>
        <filter val="RAZEM dla ścieżki Psychologia zdrowia"/>
      </filters>
    </filterColumn>
  </autoFilter>
  <mergeCells count="360">
    <mergeCell ref="K361:K363"/>
    <mergeCell ref="M361:M363"/>
    <mergeCell ref="N361:N363"/>
    <mergeCell ref="O361:O363"/>
    <mergeCell ref="P361:P363"/>
    <mergeCell ref="T361:T362"/>
    <mergeCell ref="K387:L387"/>
    <mergeCell ref="K388:L388"/>
    <mergeCell ref="K352:L352"/>
    <mergeCell ref="AO352:AP352"/>
    <mergeCell ref="AT352:AU352"/>
    <mergeCell ref="K353:L353"/>
    <mergeCell ref="AO353:AP353"/>
    <mergeCell ref="AT353:AU353"/>
    <mergeCell ref="AO347:AP347"/>
    <mergeCell ref="AT347:AU347"/>
    <mergeCell ref="AO348:AP348"/>
    <mergeCell ref="AT348:AU348"/>
    <mergeCell ref="AO349:AP349"/>
    <mergeCell ref="AT349:AU349"/>
    <mergeCell ref="AO350:AP350"/>
    <mergeCell ref="AT350:AU350"/>
    <mergeCell ref="AO351:AP351"/>
    <mergeCell ref="AT351:AU351"/>
    <mergeCell ref="AO342:AP342"/>
    <mergeCell ref="AT342:AU342"/>
    <mergeCell ref="AO343:AP343"/>
    <mergeCell ref="AT343:AU343"/>
    <mergeCell ref="AO344:AP344"/>
    <mergeCell ref="AT344:AU344"/>
    <mergeCell ref="AO345:AP345"/>
    <mergeCell ref="AT345:AU345"/>
    <mergeCell ref="AO346:AP346"/>
    <mergeCell ref="AT346:AU346"/>
    <mergeCell ref="AO337:AP337"/>
    <mergeCell ref="AT337:AU337"/>
    <mergeCell ref="AO338:AP338"/>
    <mergeCell ref="AT338:AU338"/>
    <mergeCell ref="AO339:AP339"/>
    <mergeCell ref="AT339:AU339"/>
    <mergeCell ref="AO340:AP340"/>
    <mergeCell ref="AT340:AU340"/>
    <mergeCell ref="AO341:AP341"/>
    <mergeCell ref="AT341:AU341"/>
    <mergeCell ref="AM333:AM334"/>
    <mergeCell ref="AN333:AN334"/>
    <mergeCell ref="AO333:AR333"/>
    <mergeCell ref="AS333:AS334"/>
    <mergeCell ref="AT333:AU334"/>
    <mergeCell ref="AO334:AP334"/>
    <mergeCell ref="AO335:AP335"/>
    <mergeCell ref="AT335:AU335"/>
    <mergeCell ref="AO336:AP336"/>
    <mergeCell ref="AT336:AU336"/>
    <mergeCell ref="AD333:AD334"/>
    <mergeCell ref="AE333:AE334"/>
    <mergeCell ref="AF333:AF334"/>
    <mergeCell ref="AG333:AG334"/>
    <mergeCell ref="AH333:AH334"/>
    <mergeCell ref="AI333:AI334"/>
    <mergeCell ref="AJ333:AJ334"/>
    <mergeCell ref="AK333:AK334"/>
    <mergeCell ref="AL333:AL334"/>
    <mergeCell ref="K328:L328"/>
    <mergeCell ref="K332:K334"/>
    <mergeCell ref="L332:L334"/>
    <mergeCell ref="M332:Z332"/>
    <mergeCell ref="AA332:AO332"/>
    <mergeCell ref="AP332:AT332"/>
    <mergeCell ref="AU332:AV332"/>
    <mergeCell ref="M333:M334"/>
    <mergeCell ref="N333:N334"/>
    <mergeCell ref="O333:O334"/>
    <mergeCell ref="P333:P334"/>
    <mergeCell ref="Q333:Q334"/>
    <mergeCell ref="R333:R334"/>
    <mergeCell ref="S333:S334"/>
    <mergeCell ref="T333:T334"/>
    <mergeCell ref="U333:U334"/>
    <mergeCell ref="V333:V334"/>
    <mergeCell ref="W333:W334"/>
    <mergeCell ref="X333:X334"/>
    <mergeCell ref="Y333:Y334"/>
    <mergeCell ref="Z333:Z334"/>
    <mergeCell ref="AA333:AA334"/>
    <mergeCell ref="AB333:AB334"/>
    <mergeCell ref="AC333:AC334"/>
    <mergeCell ref="AK300:AK301"/>
    <mergeCell ref="AL300:AL301"/>
    <mergeCell ref="AM300:AM301"/>
    <mergeCell ref="AN300:AN301"/>
    <mergeCell ref="AO300:AQ300"/>
    <mergeCell ref="AR300:AR301"/>
    <mergeCell ref="K325:L325"/>
    <mergeCell ref="K326:L326"/>
    <mergeCell ref="K327:L327"/>
    <mergeCell ref="AB300:AB301"/>
    <mergeCell ref="AC300:AC301"/>
    <mergeCell ref="AD300:AD301"/>
    <mergeCell ref="AE300:AE301"/>
    <mergeCell ref="AF300:AF301"/>
    <mergeCell ref="AG300:AG301"/>
    <mergeCell ref="AH300:AH301"/>
    <mergeCell ref="AI300:AI301"/>
    <mergeCell ref="AJ300:AJ301"/>
    <mergeCell ref="AO274:AQ274"/>
    <mergeCell ref="AR274:AR275"/>
    <mergeCell ref="K293:L293"/>
    <mergeCell ref="K299:K301"/>
    <mergeCell ref="L299:L301"/>
    <mergeCell ref="M299:Z299"/>
    <mergeCell ref="AA299:AN299"/>
    <mergeCell ref="AO299:AR299"/>
    <mergeCell ref="AS299:AS301"/>
    <mergeCell ref="M300:M301"/>
    <mergeCell ref="N300:N301"/>
    <mergeCell ref="O300:O301"/>
    <mergeCell ref="P300:P301"/>
    <mergeCell ref="Q300:Q301"/>
    <mergeCell ref="R300:R301"/>
    <mergeCell ref="S300:S301"/>
    <mergeCell ref="T300:T301"/>
    <mergeCell ref="U300:U301"/>
    <mergeCell ref="V300:V301"/>
    <mergeCell ref="W300:W301"/>
    <mergeCell ref="X300:X301"/>
    <mergeCell ref="Y300:Y301"/>
    <mergeCell ref="Z300:Z301"/>
    <mergeCell ref="AA300:AA301"/>
    <mergeCell ref="AF274:AF275"/>
    <mergeCell ref="AG274:AG275"/>
    <mergeCell ref="AH274:AH275"/>
    <mergeCell ref="AI274:AI275"/>
    <mergeCell ref="AJ274:AJ275"/>
    <mergeCell ref="AK274:AK275"/>
    <mergeCell ref="AL274:AL275"/>
    <mergeCell ref="AM274:AM275"/>
    <mergeCell ref="AN274:AN275"/>
    <mergeCell ref="W274:W275"/>
    <mergeCell ref="X274:X275"/>
    <mergeCell ref="Y274:Y275"/>
    <mergeCell ref="Z274:Z275"/>
    <mergeCell ref="AA274:AA275"/>
    <mergeCell ref="AB274:AB275"/>
    <mergeCell ref="AC274:AC275"/>
    <mergeCell ref="AD274:AD275"/>
    <mergeCell ref="AE274:AE275"/>
    <mergeCell ref="AK250:AK251"/>
    <mergeCell ref="AL250:AL251"/>
    <mergeCell ref="AM250:AM251"/>
    <mergeCell ref="AN250:AN251"/>
    <mergeCell ref="AO250:AQ250"/>
    <mergeCell ref="AR250:AR251"/>
    <mergeCell ref="AS250:AS251"/>
    <mergeCell ref="K267:L267"/>
    <mergeCell ref="K273:K275"/>
    <mergeCell ref="L273:L275"/>
    <mergeCell ref="M273:Z273"/>
    <mergeCell ref="AA273:AN273"/>
    <mergeCell ref="AO273:AR273"/>
    <mergeCell ref="AS273:AS275"/>
    <mergeCell ref="M274:M275"/>
    <mergeCell ref="N274:N275"/>
    <mergeCell ref="O274:O275"/>
    <mergeCell ref="P274:P275"/>
    <mergeCell ref="Q274:Q275"/>
    <mergeCell ref="R274:R275"/>
    <mergeCell ref="S274:S275"/>
    <mergeCell ref="T274:T275"/>
    <mergeCell ref="U274:U275"/>
    <mergeCell ref="V274:V275"/>
    <mergeCell ref="AB250:AB251"/>
    <mergeCell ref="AC250:AC251"/>
    <mergeCell ref="AD250:AD251"/>
    <mergeCell ref="AE250:AE251"/>
    <mergeCell ref="AF250:AF251"/>
    <mergeCell ref="AG250:AG251"/>
    <mergeCell ref="AH250:AH251"/>
    <mergeCell ref="AI250:AI251"/>
    <mergeCell ref="AJ250:AJ251"/>
    <mergeCell ref="AN224:AN225"/>
    <mergeCell ref="AO224:AQ224"/>
    <mergeCell ref="AR224:AR225"/>
    <mergeCell ref="K246:L246"/>
    <mergeCell ref="K249:K251"/>
    <mergeCell ref="L249:L251"/>
    <mergeCell ref="M249:Z249"/>
    <mergeCell ref="AA249:AN249"/>
    <mergeCell ref="AO249:AR249"/>
    <mergeCell ref="M250:M251"/>
    <mergeCell ref="N250:N251"/>
    <mergeCell ref="O250:O251"/>
    <mergeCell ref="P250:P251"/>
    <mergeCell ref="Q250:Q251"/>
    <mergeCell ref="R250:R251"/>
    <mergeCell ref="S250:S251"/>
    <mergeCell ref="T250:T251"/>
    <mergeCell ref="U250:U251"/>
    <mergeCell ref="V250:V251"/>
    <mergeCell ref="W250:W251"/>
    <mergeCell ref="X250:X251"/>
    <mergeCell ref="Y250:Y251"/>
    <mergeCell ref="Z250:Z251"/>
    <mergeCell ref="AA250:AA251"/>
    <mergeCell ref="AE224:AE225"/>
    <mergeCell ref="AF224:AF225"/>
    <mergeCell ref="AG224:AG225"/>
    <mergeCell ref="AH224:AH225"/>
    <mergeCell ref="AI224:AI225"/>
    <mergeCell ref="AJ224:AJ225"/>
    <mergeCell ref="AK224:AK225"/>
    <mergeCell ref="AL224:AL225"/>
    <mergeCell ref="AM224:AM225"/>
    <mergeCell ref="K223:K225"/>
    <mergeCell ref="L223:L225"/>
    <mergeCell ref="M223:Z223"/>
    <mergeCell ref="AA223:AN223"/>
    <mergeCell ref="AO223:AR223"/>
    <mergeCell ref="AS223:AS225"/>
    <mergeCell ref="M224:M225"/>
    <mergeCell ref="N224:N225"/>
    <mergeCell ref="O224:O225"/>
    <mergeCell ref="P224:P225"/>
    <mergeCell ref="Q224:Q225"/>
    <mergeCell ref="R224:R225"/>
    <mergeCell ref="S224:S225"/>
    <mergeCell ref="T224:T225"/>
    <mergeCell ref="U224:U225"/>
    <mergeCell ref="V224:V225"/>
    <mergeCell ref="W224:W225"/>
    <mergeCell ref="X224:X225"/>
    <mergeCell ref="Y224:Y225"/>
    <mergeCell ref="Z224:Z225"/>
    <mergeCell ref="AA224:AA225"/>
    <mergeCell ref="AB224:AB225"/>
    <mergeCell ref="AC224:AC225"/>
    <mergeCell ref="AD224:AD225"/>
    <mergeCell ref="I136:J136"/>
    <mergeCell ref="AK118:AK119"/>
    <mergeCell ref="AL118:AL119"/>
    <mergeCell ref="AM118:AO118"/>
    <mergeCell ref="AP118:AP119"/>
    <mergeCell ref="AQ118:AQ119"/>
    <mergeCell ref="AF118:AF119"/>
    <mergeCell ref="AG118:AG119"/>
    <mergeCell ref="AH118:AH119"/>
    <mergeCell ref="AI118:AI119"/>
    <mergeCell ref="AJ118:AJ119"/>
    <mergeCell ref="AA118:AA119"/>
    <mergeCell ref="AB118:AB119"/>
    <mergeCell ref="AC118:AC119"/>
    <mergeCell ref="AD118:AD119"/>
    <mergeCell ref="AE118:AE119"/>
    <mergeCell ref="V118:V119"/>
    <mergeCell ref="W118:W119"/>
    <mergeCell ref="X118:X119"/>
    <mergeCell ref="Y118:Y119"/>
    <mergeCell ref="Z118:Z119"/>
    <mergeCell ref="I117:I119"/>
    <mergeCell ref="J117:J119"/>
    <mergeCell ref="K117:X117"/>
    <mergeCell ref="C2:C3"/>
    <mergeCell ref="D2:D3"/>
    <mergeCell ref="E2:E3"/>
    <mergeCell ref="F2:F3"/>
    <mergeCell ref="N2:N4"/>
    <mergeCell ref="O2:O4"/>
    <mergeCell ref="Y117:AL117"/>
    <mergeCell ref="AM117:AP117"/>
    <mergeCell ref="K118:K119"/>
    <mergeCell ref="L118:L119"/>
    <mergeCell ref="M118:M119"/>
    <mergeCell ref="N118:N119"/>
    <mergeCell ref="O118:O119"/>
    <mergeCell ref="P118:P119"/>
    <mergeCell ref="Q118:Q119"/>
    <mergeCell ref="R118:R119"/>
    <mergeCell ref="S118:S119"/>
    <mergeCell ref="T118:T119"/>
    <mergeCell ref="U118:U119"/>
    <mergeCell ref="P2:P4"/>
    <mergeCell ref="T2:T3"/>
    <mergeCell ref="K21:L21"/>
    <mergeCell ref="X68:X69"/>
    <mergeCell ref="Y68:Y69"/>
    <mergeCell ref="Z68:Z69"/>
    <mergeCell ref="AA68:AA69"/>
    <mergeCell ref="AB68:AB69"/>
    <mergeCell ref="AI67:AI69"/>
    <mergeCell ref="L68:L69"/>
    <mergeCell ref="M68:M69"/>
    <mergeCell ref="N68:N69"/>
    <mergeCell ref="O68:O69"/>
    <mergeCell ref="P68:P69"/>
    <mergeCell ref="Q68:Q69"/>
    <mergeCell ref="AC68:AC69"/>
    <mergeCell ref="AD68:AD69"/>
    <mergeCell ref="AE68:AG68"/>
    <mergeCell ref="AH68:AH69"/>
    <mergeCell ref="K22:L22"/>
    <mergeCell ref="M2:M4"/>
    <mergeCell ref="K2:K4"/>
    <mergeCell ref="A87:B87"/>
    <mergeCell ref="A67:A69"/>
    <mergeCell ref="B67:B69"/>
    <mergeCell ref="C67:P67"/>
    <mergeCell ref="Q67:AD67"/>
    <mergeCell ref="AE67:AH67"/>
    <mergeCell ref="R68:R69"/>
    <mergeCell ref="S68:S69"/>
    <mergeCell ref="T68:T69"/>
    <mergeCell ref="U68:U69"/>
    <mergeCell ref="V68:V69"/>
    <mergeCell ref="W68:W69"/>
    <mergeCell ref="C68:C69"/>
    <mergeCell ref="D68:D69"/>
    <mergeCell ref="E68:E69"/>
    <mergeCell ref="F68:F69"/>
    <mergeCell ref="G68:G69"/>
    <mergeCell ref="H68:H69"/>
    <mergeCell ref="I68:I69"/>
    <mergeCell ref="J68:J69"/>
    <mergeCell ref="K68:K69"/>
    <mergeCell ref="Q92:AD92"/>
    <mergeCell ref="AE92:AH92"/>
    <mergeCell ref="C93:C94"/>
    <mergeCell ref="D93:D94"/>
    <mergeCell ref="E93:E94"/>
    <mergeCell ref="F93:F94"/>
    <mergeCell ref="G93:G94"/>
    <mergeCell ref="H93:H94"/>
    <mergeCell ref="I93:I94"/>
    <mergeCell ref="J93:J94"/>
    <mergeCell ref="K93:K94"/>
    <mergeCell ref="L93:L94"/>
    <mergeCell ref="M93:M94"/>
    <mergeCell ref="AI93:AI94"/>
    <mergeCell ref="X93:X94"/>
    <mergeCell ref="Y93:Y94"/>
    <mergeCell ref="Z93:Z94"/>
    <mergeCell ref="AA93:AA94"/>
    <mergeCell ref="AB93:AB94"/>
    <mergeCell ref="A111:B111"/>
    <mergeCell ref="AC93:AC94"/>
    <mergeCell ref="AD93:AD94"/>
    <mergeCell ref="AE93:AG93"/>
    <mergeCell ref="AH93:AH94"/>
    <mergeCell ref="S93:S94"/>
    <mergeCell ref="T93:T94"/>
    <mergeCell ref="U93:U94"/>
    <mergeCell ref="V93:V94"/>
    <mergeCell ref="W93:W94"/>
    <mergeCell ref="N93:N94"/>
    <mergeCell ref="O93:O94"/>
    <mergeCell ref="P93:P94"/>
    <mergeCell ref="Q93:Q94"/>
    <mergeCell ref="R93:R94"/>
    <mergeCell ref="A92:A94"/>
    <mergeCell ref="B92:B94"/>
    <mergeCell ref="C92:P9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Psychologia</vt:lpstr>
      <vt:lpstr>Wskaźniki</vt:lpstr>
      <vt:lpstr>Efekty</vt:lpstr>
      <vt:lpstr>Matryca</vt:lpstr>
      <vt:lpstr>Arkusz3</vt:lpstr>
      <vt:lpstr>Matryca_PZ</vt:lpstr>
      <vt:lpstr>Matryca_fakultety</vt:lpstr>
      <vt:lpstr>Efekty uczenia się</vt:lpstr>
      <vt:lpstr>Arkusz1</vt:lpstr>
      <vt:lpstr>Słowniki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Marzena Patyna-Sieniuta</dc:creator>
  <cp:lastModifiedBy>Marzena Patyna-Sieniuta</cp:lastModifiedBy>
  <cp:lastPrinted>2026-02-11T12:19:41Z</cp:lastPrinted>
  <dcterms:created xsi:type="dcterms:W3CDTF">2024-06-07T08:16:09Z</dcterms:created>
  <dcterms:modified xsi:type="dcterms:W3CDTF">2026-03-13T12:54:00Z</dcterms:modified>
</cp:coreProperties>
</file>